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95" windowWidth="18195" windowHeight="11640" firstSheet="3" activeTab="3"/>
  </bookViews>
  <sheets>
    <sheet name="กิจกรรมล้วน  แยกงบรายจ่าย" sheetId="1" state="hidden" r:id="rId1"/>
    <sheet name="ผลผลิต" sheetId="3" state="hidden" r:id="rId2"/>
    <sheet name="รายชื่อรับผิดชอบ" sheetId="4" state="hidden" r:id="rId3"/>
    <sheet name="รายการกิจกรรม" sheetId="2" r:id="rId4"/>
  </sheets>
  <definedNames>
    <definedName name="_xlnm.Print_Area" localSheetId="0">'กิจกรรมล้วน  แยกงบรายจ่าย'!$A$1:$L$77</definedName>
    <definedName name="_xlnm.Print_Area" localSheetId="1">ผลผลิต!$A$1:$L$77</definedName>
    <definedName name="_xlnm.Print_Area" localSheetId="3">รายการกิจกรรม!$A$1:$G$73</definedName>
    <definedName name="_xlnm.Print_Area" localSheetId="2">รายชื่อรับผิดชอบ!$A$1:$H$81</definedName>
    <definedName name="_xlnm.Print_Titles" localSheetId="0">'กิจกรรมล้วน  แยกงบรายจ่าย'!$2:$3</definedName>
    <definedName name="_xlnm.Print_Titles" localSheetId="1">ผลผลิต!$2:$3</definedName>
    <definedName name="_xlnm.Print_Titles" localSheetId="3">รายการกิจกรรม!$2:$3</definedName>
    <definedName name="_xlnm.Print_Titles" localSheetId="2">รายชื่อรับผิดชอบ!$2:$3</definedName>
  </definedNames>
  <calcPr calcId="145621"/>
</workbook>
</file>

<file path=xl/calcChain.xml><?xml version="1.0" encoding="utf-8"?>
<calcChain xmlns="http://schemas.openxmlformats.org/spreadsheetml/2006/main">
  <c r="G72" i="2"/>
  <c r="G71"/>
  <c r="G70"/>
  <c r="G69"/>
  <c r="G68"/>
  <c r="G67"/>
  <c r="G66"/>
  <c r="G65"/>
  <c r="G64"/>
  <c r="G62"/>
  <c r="G61"/>
  <c r="G60"/>
  <c r="G58"/>
  <c r="G57"/>
  <c r="G56"/>
  <c r="G54"/>
  <c r="G53"/>
  <c r="G52"/>
  <c r="G50"/>
  <c r="G48"/>
  <c r="G47"/>
  <c r="G44"/>
  <c r="G43"/>
  <c r="G42"/>
  <c r="G41"/>
  <c r="G40"/>
  <c r="G39"/>
  <c r="G38"/>
  <c r="G37"/>
  <c r="G36"/>
  <c r="G35"/>
  <c r="G34"/>
  <c r="G33"/>
  <c r="G32"/>
  <c r="G31"/>
  <c r="G30"/>
  <c r="G29"/>
  <c r="G26"/>
  <c r="G25"/>
  <c r="G22"/>
  <c r="G21"/>
  <c r="G20"/>
  <c r="G19"/>
  <c r="G18"/>
  <c r="G17"/>
  <c r="G16"/>
  <c r="G15"/>
  <c r="G14"/>
  <c r="G13"/>
  <c r="G12"/>
  <c r="G11"/>
  <c r="G10"/>
  <c r="G9"/>
  <c r="G8"/>
  <c r="G7"/>
  <c r="G6"/>
  <c r="F73"/>
  <c r="C46" l="1"/>
  <c r="G46" s="1"/>
  <c r="C51" i="4" l="1"/>
  <c r="C69" l="1"/>
  <c r="C64"/>
  <c r="C60"/>
  <c r="C56"/>
  <c r="C54"/>
  <c r="C30"/>
  <c r="C25"/>
  <c r="C5"/>
  <c r="G74" i="3"/>
  <c r="J73"/>
  <c r="G73"/>
  <c r="G72"/>
  <c r="J71"/>
  <c r="I71"/>
  <c r="H71"/>
  <c r="F71"/>
  <c r="G71" s="1"/>
  <c r="E71"/>
  <c r="D71"/>
  <c r="J70"/>
  <c r="G70"/>
  <c r="F70"/>
  <c r="J69"/>
  <c r="F69"/>
  <c r="G69" s="1"/>
  <c r="E69"/>
  <c r="D69"/>
  <c r="J68"/>
  <c r="G68"/>
  <c r="J67"/>
  <c r="F67"/>
  <c r="E67"/>
  <c r="D67"/>
  <c r="G67" s="1"/>
  <c r="J66"/>
  <c r="F66"/>
  <c r="G66" s="1"/>
  <c r="E66"/>
  <c r="D66"/>
  <c r="I65"/>
  <c r="J65" s="1"/>
  <c r="H65"/>
  <c r="E65"/>
  <c r="D65"/>
  <c r="C65"/>
  <c r="I64"/>
  <c r="I61" s="1"/>
  <c r="I49" s="1"/>
  <c r="I48" s="1"/>
  <c r="F64"/>
  <c r="E64"/>
  <c r="D64"/>
  <c r="G64" s="1"/>
  <c r="J63"/>
  <c r="F63"/>
  <c r="E63"/>
  <c r="G63" s="1"/>
  <c r="J62"/>
  <c r="F62"/>
  <c r="F61" s="1"/>
  <c r="E62"/>
  <c r="G62" s="1"/>
  <c r="H61"/>
  <c r="C61"/>
  <c r="J60"/>
  <c r="G60"/>
  <c r="J59"/>
  <c r="G59"/>
  <c r="F59"/>
  <c r="E59"/>
  <c r="D59"/>
  <c r="D57" s="1"/>
  <c r="G57" s="1"/>
  <c r="J58"/>
  <c r="H58"/>
  <c r="H57" s="1"/>
  <c r="J57" s="1"/>
  <c r="E58"/>
  <c r="E57" s="1"/>
  <c r="I57"/>
  <c r="F57"/>
  <c r="C57"/>
  <c r="J56"/>
  <c r="G56"/>
  <c r="J55"/>
  <c r="G55"/>
  <c r="J54"/>
  <c r="J53" s="1"/>
  <c r="J50" s="1"/>
  <c r="G54"/>
  <c r="I53"/>
  <c r="H53"/>
  <c r="H50" s="1"/>
  <c r="H49" s="1"/>
  <c r="F53"/>
  <c r="E53"/>
  <c r="D53"/>
  <c r="G53" s="1"/>
  <c r="C53"/>
  <c r="J52"/>
  <c r="G52"/>
  <c r="J51"/>
  <c r="I51"/>
  <c r="H51"/>
  <c r="F51"/>
  <c r="G51" s="1"/>
  <c r="E51"/>
  <c r="D51"/>
  <c r="C51"/>
  <c r="I50"/>
  <c r="F50"/>
  <c r="G50" s="1"/>
  <c r="E50"/>
  <c r="D50"/>
  <c r="J45"/>
  <c r="G45"/>
  <c r="J44"/>
  <c r="G44"/>
  <c r="I43"/>
  <c r="H43"/>
  <c r="J43" s="1"/>
  <c r="F43"/>
  <c r="E43"/>
  <c r="D43"/>
  <c r="G43" s="1"/>
  <c r="J42"/>
  <c r="F42"/>
  <c r="G42" s="1"/>
  <c r="J41"/>
  <c r="G41"/>
  <c r="I40"/>
  <c r="J40" s="1"/>
  <c r="G40"/>
  <c r="F40"/>
  <c r="E40"/>
  <c r="J39"/>
  <c r="G39"/>
  <c r="F39"/>
  <c r="E39"/>
  <c r="I38"/>
  <c r="J38" s="1"/>
  <c r="H38"/>
  <c r="F38"/>
  <c r="E38"/>
  <c r="D38"/>
  <c r="G38" s="1"/>
  <c r="J37"/>
  <c r="F37"/>
  <c r="G37" s="1"/>
  <c r="E37"/>
  <c r="J36"/>
  <c r="F36"/>
  <c r="G36" s="1"/>
  <c r="E36"/>
  <c r="D36"/>
  <c r="J35"/>
  <c r="G35"/>
  <c r="F35"/>
  <c r="E35"/>
  <c r="J34"/>
  <c r="G34"/>
  <c r="E34"/>
  <c r="J33"/>
  <c r="F33"/>
  <c r="G33" s="1"/>
  <c r="E33"/>
  <c r="J32"/>
  <c r="F32"/>
  <c r="G32" s="1"/>
  <c r="E32"/>
  <c r="J31"/>
  <c r="F31"/>
  <c r="G31" s="1"/>
  <c r="E31"/>
  <c r="D31"/>
  <c r="I30"/>
  <c r="J30" s="1"/>
  <c r="H30"/>
  <c r="E30"/>
  <c r="E29" s="1"/>
  <c r="D30"/>
  <c r="H29"/>
  <c r="D29"/>
  <c r="C29"/>
  <c r="J27"/>
  <c r="J26"/>
  <c r="J25" s="1"/>
  <c r="G26"/>
  <c r="I25"/>
  <c r="H25"/>
  <c r="G25"/>
  <c r="F25"/>
  <c r="E25"/>
  <c r="D25"/>
  <c r="C25"/>
  <c r="J23"/>
  <c r="H23"/>
  <c r="F23"/>
  <c r="F15" s="1"/>
  <c r="E23"/>
  <c r="E15" s="1"/>
  <c r="G15" s="1"/>
  <c r="J22"/>
  <c r="G22"/>
  <c r="J21"/>
  <c r="G21"/>
  <c r="J20"/>
  <c r="G20"/>
  <c r="J19"/>
  <c r="G19"/>
  <c r="E19"/>
  <c r="J18"/>
  <c r="G18"/>
  <c r="J17"/>
  <c r="G17"/>
  <c r="J16"/>
  <c r="G16"/>
  <c r="I15"/>
  <c r="H15"/>
  <c r="J15" s="1"/>
  <c r="D15"/>
  <c r="J14"/>
  <c r="G14"/>
  <c r="D14"/>
  <c r="J12"/>
  <c r="G12"/>
  <c r="I11"/>
  <c r="H11"/>
  <c r="J11" s="1"/>
  <c r="G11"/>
  <c r="F11"/>
  <c r="E11"/>
  <c r="D11"/>
  <c r="J10"/>
  <c r="G10"/>
  <c r="J9"/>
  <c r="G9"/>
  <c r="J8"/>
  <c r="G8"/>
  <c r="J7"/>
  <c r="G7"/>
  <c r="G6" s="1"/>
  <c r="I6"/>
  <c r="I5" s="1"/>
  <c r="H6"/>
  <c r="F6"/>
  <c r="F5" s="1"/>
  <c r="E6"/>
  <c r="D6"/>
  <c r="H5"/>
  <c r="J5" s="1"/>
  <c r="D5"/>
  <c r="C5"/>
  <c r="C63" i="2"/>
  <c r="G63" s="1"/>
  <c r="C59"/>
  <c r="G59" s="1"/>
  <c r="C55"/>
  <c r="G55" s="1"/>
  <c r="C51"/>
  <c r="G51" s="1"/>
  <c r="C49"/>
  <c r="G49" s="1"/>
  <c r="C28"/>
  <c r="G28" s="1"/>
  <c r="C24"/>
  <c r="G24" s="1"/>
  <c r="C5"/>
  <c r="G74" i="1"/>
  <c r="J73"/>
  <c r="G73"/>
  <c r="G72"/>
  <c r="J71"/>
  <c r="I71"/>
  <c r="H71"/>
  <c r="F71"/>
  <c r="E71"/>
  <c r="G71" s="1"/>
  <c r="D71"/>
  <c r="J70"/>
  <c r="F70"/>
  <c r="G70" s="1"/>
  <c r="J69"/>
  <c r="F69"/>
  <c r="E69"/>
  <c r="G69" s="1"/>
  <c r="D69"/>
  <c r="J68"/>
  <c r="G68"/>
  <c r="J67"/>
  <c r="F67"/>
  <c r="E67"/>
  <c r="D67"/>
  <c r="G67" s="1"/>
  <c r="J66"/>
  <c r="F66"/>
  <c r="F65" s="1"/>
  <c r="E66"/>
  <c r="G66" s="1"/>
  <c r="D66"/>
  <c r="I65"/>
  <c r="H65"/>
  <c r="J65" s="1"/>
  <c r="D65"/>
  <c r="C65"/>
  <c r="I64"/>
  <c r="I61" s="1"/>
  <c r="G64"/>
  <c r="F64"/>
  <c r="E64"/>
  <c r="D64"/>
  <c r="D61" s="1"/>
  <c r="J63"/>
  <c r="F63"/>
  <c r="E63"/>
  <c r="G63" s="1"/>
  <c r="J62"/>
  <c r="F62"/>
  <c r="E62"/>
  <c r="G62" s="1"/>
  <c r="H61"/>
  <c r="F61"/>
  <c r="C61"/>
  <c r="J60"/>
  <c r="G60"/>
  <c r="J59"/>
  <c r="F59"/>
  <c r="G59" s="1"/>
  <c r="E59"/>
  <c r="D59"/>
  <c r="D57" s="1"/>
  <c r="H58"/>
  <c r="H57" s="1"/>
  <c r="J57" s="1"/>
  <c r="E58"/>
  <c r="G58" s="1"/>
  <c r="I57"/>
  <c r="E57"/>
  <c r="C57"/>
  <c r="J56"/>
  <c r="G56"/>
  <c r="J55"/>
  <c r="G55"/>
  <c r="J54"/>
  <c r="J53" s="1"/>
  <c r="J50" s="1"/>
  <c r="G54"/>
  <c r="I53"/>
  <c r="H53"/>
  <c r="H50" s="1"/>
  <c r="H49" s="1"/>
  <c r="G53"/>
  <c r="F53"/>
  <c r="E53"/>
  <c r="D53"/>
  <c r="C53"/>
  <c r="J52"/>
  <c r="G52"/>
  <c r="J51"/>
  <c r="I51"/>
  <c r="H51"/>
  <c r="F51"/>
  <c r="E51"/>
  <c r="G51" s="1"/>
  <c r="D51"/>
  <c r="C51"/>
  <c r="I50"/>
  <c r="F50"/>
  <c r="E50"/>
  <c r="G50" s="1"/>
  <c r="D50"/>
  <c r="J45"/>
  <c r="G45"/>
  <c r="J44"/>
  <c r="G44"/>
  <c r="I43"/>
  <c r="H43"/>
  <c r="J43" s="1"/>
  <c r="G43"/>
  <c r="F43"/>
  <c r="E43"/>
  <c r="D43"/>
  <c r="J42"/>
  <c r="F42"/>
  <c r="G42" s="1"/>
  <c r="J41"/>
  <c r="G41"/>
  <c r="J40"/>
  <c r="I40"/>
  <c r="F40"/>
  <c r="G40" s="1"/>
  <c r="E40"/>
  <c r="J39"/>
  <c r="F39"/>
  <c r="F38" s="1"/>
  <c r="E39"/>
  <c r="I38"/>
  <c r="H38"/>
  <c r="J38" s="1"/>
  <c r="E38"/>
  <c r="D38"/>
  <c r="J37"/>
  <c r="F37"/>
  <c r="E37"/>
  <c r="G37" s="1"/>
  <c r="J36"/>
  <c r="F36"/>
  <c r="E36"/>
  <c r="D36"/>
  <c r="G36" s="1"/>
  <c r="J35"/>
  <c r="F35"/>
  <c r="G35" s="1"/>
  <c r="E35"/>
  <c r="J34"/>
  <c r="E34"/>
  <c r="G34" s="1"/>
  <c r="J33"/>
  <c r="F33"/>
  <c r="E33"/>
  <c r="G33" s="1"/>
  <c r="J32"/>
  <c r="F32"/>
  <c r="E32"/>
  <c r="G32" s="1"/>
  <c r="J31"/>
  <c r="F31"/>
  <c r="F30" s="1"/>
  <c r="E31"/>
  <c r="E30" s="1"/>
  <c r="E29" s="1"/>
  <c r="D31"/>
  <c r="G31" s="1"/>
  <c r="I30"/>
  <c r="I29" s="1"/>
  <c r="H30"/>
  <c r="J30" s="1"/>
  <c r="D30"/>
  <c r="G30" s="1"/>
  <c r="C29"/>
  <c r="J27"/>
  <c r="J26"/>
  <c r="G26"/>
  <c r="G25" s="1"/>
  <c r="J25"/>
  <c r="I25"/>
  <c r="H25"/>
  <c r="F25"/>
  <c r="E25"/>
  <c r="D25"/>
  <c r="C25"/>
  <c r="J23"/>
  <c r="H23"/>
  <c r="F23"/>
  <c r="E23"/>
  <c r="E15" s="1"/>
  <c r="G15" s="1"/>
  <c r="J22"/>
  <c r="G22"/>
  <c r="J21"/>
  <c r="G21"/>
  <c r="J20"/>
  <c r="G20"/>
  <c r="J19"/>
  <c r="G19"/>
  <c r="E19"/>
  <c r="J18"/>
  <c r="G18"/>
  <c r="J17"/>
  <c r="G17"/>
  <c r="J16"/>
  <c r="G16"/>
  <c r="J15"/>
  <c r="I15"/>
  <c r="H15"/>
  <c r="F15"/>
  <c r="D15"/>
  <c r="J14"/>
  <c r="G14"/>
  <c r="D14"/>
  <c r="J12"/>
  <c r="G12"/>
  <c r="J11"/>
  <c r="I11"/>
  <c r="H11"/>
  <c r="F11"/>
  <c r="F5" s="1"/>
  <c r="E11"/>
  <c r="D11"/>
  <c r="J10"/>
  <c r="G10"/>
  <c r="J9"/>
  <c r="G9"/>
  <c r="J8"/>
  <c r="G8"/>
  <c r="G6" s="1"/>
  <c r="J7"/>
  <c r="G7"/>
  <c r="I6"/>
  <c r="I5" s="1"/>
  <c r="H6"/>
  <c r="H5" s="1"/>
  <c r="F6"/>
  <c r="E6"/>
  <c r="E5" s="1"/>
  <c r="D6"/>
  <c r="D5" s="1"/>
  <c r="C5"/>
  <c r="C73" i="2" l="1"/>
  <c r="G73" s="1"/>
  <c r="J49" i="3"/>
  <c r="H48"/>
  <c r="J48" s="1"/>
  <c r="G65"/>
  <c r="E5"/>
  <c r="E75" s="1"/>
  <c r="E49"/>
  <c r="E48" s="1"/>
  <c r="G23"/>
  <c r="I29"/>
  <c r="J29" s="1"/>
  <c r="F30"/>
  <c r="F29" s="1"/>
  <c r="F75" s="1"/>
  <c r="F49"/>
  <c r="F48" s="1"/>
  <c r="D61"/>
  <c r="G61" s="1"/>
  <c r="J64"/>
  <c r="J61" s="1"/>
  <c r="F65"/>
  <c r="H75"/>
  <c r="G58"/>
  <c r="E61"/>
  <c r="J5" i="1"/>
  <c r="H75"/>
  <c r="H48"/>
  <c r="J49"/>
  <c r="G61"/>
  <c r="G5"/>
  <c r="I75"/>
  <c r="F29"/>
  <c r="G38"/>
  <c r="I49"/>
  <c r="I48" s="1"/>
  <c r="D49"/>
  <c r="G57"/>
  <c r="G11"/>
  <c r="H29"/>
  <c r="J29" s="1"/>
  <c r="G39"/>
  <c r="E49"/>
  <c r="E48" s="1"/>
  <c r="E75" s="1"/>
  <c r="F57"/>
  <c r="F49" s="1"/>
  <c r="F48" s="1"/>
  <c r="E65"/>
  <c r="G65" s="1"/>
  <c r="G23"/>
  <c r="J64"/>
  <c r="J61" s="1"/>
  <c r="D29"/>
  <c r="J58"/>
  <c r="E61"/>
  <c r="J75" i="3" l="1"/>
  <c r="D49"/>
  <c r="I75"/>
  <c r="G29"/>
  <c r="G30"/>
  <c r="G5"/>
  <c r="F75" i="1"/>
  <c r="G49"/>
  <c r="D48"/>
  <c r="G48" s="1"/>
  <c r="J75"/>
  <c r="J48"/>
  <c r="G29"/>
  <c r="D75"/>
  <c r="D48" i="3" l="1"/>
  <c r="G49"/>
  <c r="C48" i="1"/>
  <c r="G75"/>
  <c r="G48" i="3" l="1"/>
  <c r="C48" s="1"/>
  <c r="D75"/>
  <c r="G75" s="1"/>
</calcChain>
</file>

<file path=xl/sharedStrings.xml><?xml version="1.0" encoding="utf-8"?>
<sst xmlns="http://schemas.openxmlformats.org/spreadsheetml/2006/main" count="718" uniqueCount="303">
  <si>
    <t xml:space="preserve">      รายละเอียดกิจกรรม/โครงการตามแผนปฏิบัติราชการประจำปีงบประมาณ พ.ศ. ๒๕๕๖ ของจังหวัดพระนครศรีอยุธยา </t>
  </si>
  <si>
    <t>ที่</t>
  </si>
  <si>
    <t>ชื่อโครงการ</t>
  </si>
  <si>
    <t>งบดำเนินงาน</t>
  </si>
  <si>
    <t>งบลงทุน</t>
  </si>
  <si>
    <t xml:space="preserve">รายการกิจกรรม </t>
  </si>
  <si>
    <t>หน่วยดำเนินการ</t>
  </si>
  <si>
    <t>ค่าตอบแทน</t>
  </si>
  <si>
    <t>ค่าใช้สอย</t>
  </si>
  <si>
    <t>ค่าวัสดุ</t>
  </si>
  <si>
    <t>รวม</t>
  </si>
  <si>
    <t>ค่าครุภัณฑ์</t>
  </si>
  <si>
    <t xml:space="preserve">ค่าที่ดินฯ </t>
  </si>
  <si>
    <t xml:space="preserve">รวม </t>
  </si>
  <si>
    <t>ประเด็นยุทธศาสตร์ที่ 1  : พัฒนาแหล่งท่องเที่ยวควบคู่กับการเรียนรู้เชิงประวัติศาสตร์</t>
  </si>
  <si>
    <t xml:space="preserve">รวม 3 โครงการ 14 กิจกรรม </t>
  </si>
  <si>
    <t>โครงการส่งเสริมการท่องเที่ยวจังหวัดพระนครศรีอยุธยา</t>
  </si>
  <si>
    <t xml:space="preserve"> 3  กิจกรรม </t>
  </si>
  <si>
    <t>สนง.ท่องเที่ยวและกีฬาฯ : เจ้าภาพหลัก</t>
  </si>
  <si>
    <t>๑.๑ การจัดงานยอยศยิ่งฟ้าอยุธยามรดกโลกและงานกาชาด</t>
  </si>
  <si>
    <t xml:space="preserve">  - จัดงานยอยศยิ่งฟ้าอยุธยามรดกโลก ในช่วงเดือนธันวาคม 2555
จำนวน  10  วัน 
  -  ค่าใช้จ่ายเป็นค่าตอบแทนผู้ปฏิบัติงาน  และค่าจ้างเหมาจัดงาน  </t>
  </si>
  <si>
    <t xml:space="preserve">๑.๒ ส่งเสริมศักยภาพด้านการ ตลาดผลิตภัณฑ์และการท่องเที่ยวจังหวัดพระนครศรีอยุธยา (Ayutthaya Fair) </t>
  </si>
  <si>
    <t xml:space="preserve">  - จัดกิจกรรมส่งเสริมศักยภาพด้านการตลาดผลิตภัณฑ์ ให้แก่ผู้ผลิต/ผู้ประกอบการ จำนวน  60  คน 2 วัน  
</t>
  </si>
  <si>
    <t>สนง.พาณิชย์จังหวัด</t>
  </si>
  <si>
    <t>๑.๓ ไหว้ครูมวยไทยนายขนมต้ม</t>
  </si>
  <si>
    <t xml:space="preserve">  - จัดกิจกรรมไหว้ครูมวยไทยนายขนมต้ม  เป็นค่าตอบแทนผู้ปฏิบัติงานราชการ และเงินรางวัลในกิจกรรมไหว้ครูมวยไทย  
นายขนมต้ม และค่าจ้างเหมาจัดนิทรรศการกิจกรรมไหว้ครูมวยไทยนายขนมต้ม 1 ครั้ง</t>
  </si>
  <si>
    <t>สนง.ท่องเที่ยวและกีฬาฯ</t>
  </si>
  <si>
    <t>๑.๔ มหกรรมศิลปวัฒนธรรมนานาชาติเฉลิมพระเกียรติ " Ayutthaya and Art Culture Expo 2012"</t>
  </si>
  <si>
    <t xml:space="preserve">   - ค่าจ้างเหมาจัดงานกิจกรรมมหกรรมศิลปวัฒนธรรมอยุธยาและนานาชาติ( 3 ครั้ง x ครั้งละ 3,000,000 บาท)</t>
  </si>
  <si>
    <t>ม.ราชภัฎพระนครศรีอยุธยา</t>
  </si>
  <si>
    <t xml:space="preserve"> โครงการเพิ่มประสิทธิภาพการท่องเที่ยวจังหวัด เพื่อเป็นเจ้าภาพจัดงาน World Expo 2020</t>
  </si>
  <si>
    <t xml:space="preserve"> 2 กิจกรรม </t>
  </si>
  <si>
    <t>สำนักงานจังหวัด : เจ้าภาพหลัก</t>
  </si>
  <si>
    <t>๒.๑ ขับเคลื่อนยุทธศาสตร์จังหวัดให้รองรับการเป็นเจ้าภาพ World Expo 2020</t>
  </si>
  <si>
    <t xml:space="preserve">  -  จัดนิทรรศการเกี่ยวกับการจัดงาน World Expo  2  ครั้ง ๆ ละ  2,000,000  บาท
 เป็นเงิน  4,000,000  บาท
  -  จัดประชุมหน่วยงานในจังหวัด 
จำนวน 4 ครั้ง ๆ ละ 100  คน  
ครั้งละ  200,000  บาท  เพื่อประชาสัมพันธ์การจัดงาน World Expo 
 </t>
  </si>
  <si>
    <t>สำนักงานจังหวัดสนง.ประชาสัมพันธ์</t>
  </si>
  <si>
    <t xml:space="preserve">  - จัดประชุมผู้แทนหน่วยส่วนกลาง 2 ครั้ง ๆ ละ 100  คน
ครั้งละ  300,000  บาท
   -  จัดทำสื่อประชาสัมพันธ์เกี่ยวกับการเป็นเจ้าภาพจัดงาน ได้แก่ จัดทำป้าย  40  แห่ง ๆ ละ 27,500 บาท และจัดทำเอกสาร แผ่นพับ สื่อประชาสัมพันธ์ทางวิทยุ โทรทัศน์  
   -  จัดทำเอกสารให้ความรู้เกี่ยวกับภาษาในการสื่อสารกับนักท่องเที่ยว ให้แก่นักเรียน นักศึกษา ประชาชนทั่วไป</t>
  </si>
  <si>
    <t>๒.๒ พัฒนาบุคลากรเครือข่ายท่องเที่ยวเพื่อรองรับการเป็นเจ้าภาพ World Expo 2020</t>
  </si>
  <si>
    <t xml:space="preserve"> - จัดฝึกอบรมให้ความรู้บุคคลากรภาคเอกชนเครือข่ายท่องเที่ยว ได้แก่ผู้ประกอบการโฮมสเตย์  สินค้า OTOP ร้านอาหาร และโรงแรมเกี่ยวกับการเสนอตัวเป็นเจ้าภาพจัดงาน World Expo</t>
  </si>
  <si>
    <t>สนง.ท่องเที่ยวและกีฬาฯ,สนง.ตำรวจท่องเที่ยวฯ</t>
  </si>
  <si>
    <t>โครงการพัฒนาแหล่งท่องเที่ยวจังหวัดพระนครศรีอยุธยา</t>
  </si>
  <si>
    <t xml:space="preserve"> 8  กิจกรรม </t>
  </si>
  <si>
    <t>๓.๑ ปรับปรุงภูมิทัศน์ศูนย์ประวัติศาสตร์จังหวัดพระนครศรีอยุธยา</t>
  </si>
  <si>
    <t xml:space="preserve">  -  ค่าครุภัณฑ์ในการปรับปรุงภูมิทัศน์ศูนย์ศึกษาประวัติศาสตร์ (ปรับปรุงซ่อมแซมเครื่องปรับอากาศ ระบบไฟฟ้า พร้อมอุปกรณ์)
  - ค่าที่ดินและสิ่งก่อสร้าง (1) จัดทำรั้วอาคาร 3 ด้าน (2) ปูพื้นกระเบื้องอาคาร (3) ปรับปรุงไฟฟ้าส่องสว่าง (4) ทาสีอาคาร (5) จัดทำระบบบำบัดน้ำเสีย(กังหันชัยพัฒนา 
(ที่ทำการปกครองจังหวัด)</t>
  </si>
  <si>
    <t>ที่ทำการปกครองจังหวัดพระนครศรีอยุธยา</t>
  </si>
  <si>
    <t xml:space="preserve">๓.๒ ปรับปรุงภูมิทัศน์ตัวเมืองอยุธยา </t>
  </si>
  <si>
    <t xml:space="preserve">  - ค่าที่ดินและสิ่งก่อสร้าง (1) จัดทำนาฬิกาแดดขนาดใหญ่บริเวณสวนสาธารณะบึงพระราม (2) ปรับปรุงภูมิทัศน์ถนนคลองมะขามเรียง แยกวัดพระญาติ สวนเฉลิมพระเกียรติ ถนนโรจนะ </t>
  </si>
  <si>
    <t>สนง.ท่องเที่ยวและกีฬาฯ , สนง.โยธาฯ,สนง.จังหวัด, เทศบาลนครฯ, เทศบาลอโยธยา</t>
  </si>
  <si>
    <t>๓.๓ ปรับปรุงภูมิทัศน์บริเวณใกล้เคียงศูนย์ศิลปาชีพบางไทร</t>
  </si>
  <si>
    <t xml:space="preserve"> - ค่าที่ดินและสิ่งก่อสร้าง (1) จัดทำป้ายบอกเส้นทาง/ป้ายรณรงค์การเป็นเจ้าภาพ World Expo 2020 บริเวณทางหลวงหมายเลข 3422 และทางหลวงหมายเลข 3309 (2) ปรับปรุงภูมิทัศน์ถนนหมายเลข 3442 ระยะทาง 2.2 กิโลเมตร และถนนหมายเลข 3309 ช่วงแยก
บ่อส่า -ศูนย์ศิลปชีพ  (3) ติดตั้งอุปกรณ์ไฟฟ้าส่องสว่างบริเวณถนนหมายเลข 3442 ระยะทาง 2.2 กิโลเมตร และถนนหมายเลข 3309 ช่วงแยกบ่อส่า -ศูนย์ศิลปชีพ </t>
  </si>
  <si>
    <t>ที่ทำการปกครองอำเภอบางไทร</t>
  </si>
  <si>
    <t>๓.๔ พัฒนาศูนย์จำหน่ายผลิตภัณฑ์ชุมชนพื้นที่ตลาดกลางเพื่อการเกษตร</t>
  </si>
  <si>
    <t xml:space="preserve"> - จ้างเหมาจัดแสดงและจำหน่ายผลิตภัณฑ์ชุมชน 1 ครั้ง
  - จ้างเหมาพัฒนารูปแบบสินค้าและบรรจุภัณฑ์ 
  - สร้างกระบวนการเรียนรู้แก่ผู้ประกอบการ   </t>
  </si>
  <si>
    <t>สนง.พัฒนาชุมชนจังหวัด</t>
  </si>
  <si>
    <t>๓.๕ จัดทำป้ายกราฟฟิคบอร์ดประชาสัมพันธ์การท่องเที่ยว</t>
  </si>
  <si>
    <t xml:space="preserve">  -  ค่าครุภัณฑ์กิจกรรมจัดทำป้ายกราฟฟิคบอร์ดประชาสัมพันธ์การท่องเที่ยว ขนาด 4.00x6.00 เมตร เสาสูงไม่น้อยกว่า 3.00 เมตร ติดตั้งภายในอาคาร จำนวน 1 ป้าย) </t>
  </si>
  <si>
    <t>ที่ทำการปกครองอำเภอบางปะอิน</t>
  </si>
  <si>
    <t xml:space="preserve">๓.๖ ปรับปรุงภูมิทัศน์เพื่อส่งเสริมการท่องเที่ยวริมฝั่งแม่น้ำป่าสัก หมู่ที่ ๑๐ (บริเวณหน้าวัดไก่จ้น) </t>
  </si>
  <si>
    <t xml:space="preserve"> - ค่าที่ดินและสิ่งก่อสร้าง โดยปรับปรุงภูมิทัศน์ เพื่อส่งเสริมการท่องเที่ยวริมฝั่งแม่น้ำป่าสัก บริเวณวัดไก่จ้น อ.ท่าเรือ</t>
  </si>
  <si>
    <t>ที่ทำการปกครองอำเภอท่าเรือ</t>
  </si>
  <si>
    <t>๓.๗ พัฒนาแหล่งน้ำเพื่อการท่องเที่ยว</t>
  </si>
  <si>
    <t xml:space="preserve"> - ค่าที่ดินและสิ่งก่อสร้าง โดยปรับปรุงภูมิทัศน์ เพื่อส่งเสริมการท่องเที่ยวทางน้ำวัดโตนดเตี้ย อ.อุทัย</t>
  </si>
  <si>
    <t>ที่ทำการปกครองอำเภออุทัย</t>
  </si>
  <si>
    <t>๓.๘ ส่งเสริมการท่องเที่ยวหมู่บ้าน OTOP เชื่อมโยงศูนย์เรียนรู้ภูมิปัญญาท้องถิ่น</t>
  </si>
  <si>
    <t xml:space="preserve"> - ค่าที่ดินและสิ่งก่อสร้าง โดยปรับปรุงภูมิทัศน์ เพื่อส่งเสริมการท่องเที่ยวหมู่บ้าน OTOP ต.บางนางร้า อ.บางปะหัน </t>
  </si>
  <si>
    <t>ที่ทำการปกครองอำเภอบางปะหัน</t>
  </si>
  <si>
    <t>ประเด็นยุทธศาสตร์ที่ ๒ : ส่งเสริมบริการโลจิสติกส์ การค้า การลงทุน และพัฒนาอุตสาหกรรมสะอาด</t>
  </si>
  <si>
    <t xml:space="preserve">รวม  2 โครงการ 2 กิจกรรม </t>
  </si>
  <si>
    <t xml:space="preserve">โครงการจัดวางระบบผังโครงข่ายคมนาคมจังหวัดพระนครศรีอยุธยา   </t>
  </si>
  <si>
    <t xml:space="preserve">  -  จัดจ้างที่ปรึกษาศึกษาผังแม่บทโครงข่ายคมนาคมระบบทางบก ทางน้ำ ระบบราง และระบบรถไฟฟ้า ในพื้นที่อำเภอบางไทร เพื่อรองรับการจัดงาน World Expo </t>
  </si>
  <si>
    <t xml:space="preserve">สนง.โยธาธิการและผังเมือง : เจ้าภาพหลัก
ร่วมกับ สนง.อุตสาหกรรมจังหวัดฯ  
สนง.ทางหลวงชนบท สนง.ขนส่ง
แขวงการทาง  ที่ทำการปกครอง
กรมเจ้าท่า การรถไฟ ชลประทาน 
และ อปท.ในพื้นที่ </t>
  </si>
  <si>
    <t>โครงการพัฒนาพื้นที เส้นทางเพื่อรองรับการจัดงาน  World Expo 2020</t>
  </si>
  <si>
    <t xml:space="preserve"> - ค่าที่ดินและสิ่งก่อสร้าง จัดทำป้ายบอกเส้นทางเข้า/ออกสู่บริเวณการจัดงาน  World Expo </t>
  </si>
  <si>
    <t>สนง.ทางหลวงชนบทจังหวัด</t>
  </si>
  <si>
    <t>ประเด็นยุทธศาสตร์ที่ ๓ : พัฒนาแหล่งผลิตสินค้าเกษตรปลอดภัย</t>
  </si>
  <si>
    <t xml:space="preserve">รวม 3 โครงการ  11  กิจกรรม </t>
  </si>
  <si>
    <t>โครงการส่งเสริมการผลิตสินค้าเกษตรปลอดภัยจังหวัดพระนครศรีอยุธยา ปี ๒๕๕๖</t>
  </si>
  <si>
    <t>สนง. เกษตรจังหวัด : เจ้าภาพหลัก</t>
  </si>
  <si>
    <t xml:space="preserve"> 7.1 ปลูกข้าวกินเองแบบบูรณาการ</t>
  </si>
  <si>
    <t xml:space="preserve">  -  จัดกิจกรรมปลูกข้าวกินเองแบบบูรณาการ โดยมีการประชาสัมพันธ์โครงการ จัดประชุมชี้แจงแนวทางการดำเนินโครงการแก่ผู้เข้าร่วมโครงการและเกษตรกร 
   -จัดงานวันรณรงค์สาธิตการไถกลบตอซังและฟางข้าวในแปลงนา และโยนกล้า   
   -  ค่าใช้จ่ายจัดหาพันธ์กล้า  ปุ๋ยอินทรีย์   จัดงานรับขวัญแม่โพสพ  จัดงานวันเกี่ยวข้าว  บริหารจัดการการสีข้าว </t>
  </si>
  <si>
    <t>สนง.เกษตรและสหกรณ์จังหวัด</t>
  </si>
  <si>
    <t xml:space="preserve"> 7.2 ส่งเสริมการผลิตสินค้าเกษตรปลอดภัยให้ได้มาตรฐาน</t>
  </si>
  <si>
    <t xml:space="preserve"> - จัดกิจกรรมถ่ายทอดความรู่ตามกระบวนการโรงเรียนเกษตรกร จัดทำแปลงสาธิตป้องกันก่ำจัดศัตรูข้าวโดยใช้เครื่องดับจับแมลงด้วยแสงไฟ และจัดหาสถานที่จำหน่ายสินค้าเกษตรปลอดภัย ตลอดจนติดตามให้คำปรึกษาและประเมินผล
  -  ค่าเครื่องดักแมลง 16 เครื่อง ๆ ละ 6,00  บาท</t>
  </si>
  <si>
    <t>สนง. เกษตรจังหวัด</t>
  </si>
  <si>
    <t xml:space="preserve"> 7.3 ส่งเสริมการกระจายการผลิตพืชปลอดภัยเพื่อสร้างรายได้หลังการทำนา ปี ๒๕๕๖</t>
  </si>
  <si>
    <t xml:space="preserve"> - คัดเลือกเกษตรกรหมู่บ้านละ 5 ราย ๆ ละ 2 ไร่  จำนวน 320 คน และจัดให้มีการอบรมให้ความรู้แก่เกษตรกรเป้าหมาย  ตลอดจนสนับสนุนปัจจัยการผลิต </t>
  </si>
  <si>
    <t xml:space="preserve"> 7.4 ปรับปรุงคุณภาพดินเพื่อส่งเสริมการผลิตข้าวปลอดภัย</t>
  </si>
  <si>
    <t xml:space="preserve"> - ให้มีการเก็บตัวอย่างดิน และปรับปรุงพื้นที่ดินตามผลการวิเคราะห์ และมีการจัดหาปุ๋ยอินทรีย์คุณภาพสูง น้ำหมักชีวภาพ และสารไล่แมลงศัตรูพืช  
 - อบรมถ่ายทอดเทคโนโลยีการผลิตสินค้าเกษตรปลอดภัย
 - รณรงค์การไถกลบตอซังฟางข้าว และมีการติดตามประเมินผล</t>
  </si>
  <si>
    <t>สถานีพัฒนาที่ดินพระนครศรีอยุธยา</t>
  </si>
  <si>
    <t xml:space="preserve"> 7.5 เพิ่มประสิทธิภาพการผลิตปศุสัตว์จังหวัดพระนครศรีอยุธยา</t>
  </si>
  <si>
    <t xml:space="preserve"> - ฝึกอบรมเกษตรกรผู้เลี้ยงสัตว์ 1,600  คน  1  วัน
  - สนับสนุนปัจจัยการผลิต 
  - ตรวจรับรองมาตรฐานฟาร์ม และมีการติดตาม ตรวจเยี่ยม</t>
  </si>
  <si>
    <t>สนง. ปศุสัตว์จังหวัด</t>
  </si>
  <si>
    <t xml:space="preserve"> 7.6 การรับรองและประชาสัมพันธ์แหล่งผลิตแหล่งจำหน่ายสินค้าเกษตรและอาหารปลอดภัย</t>
  </si>
  <si>
    <t xml:space="preserve">  - ประชาสัมพันธ์สินค้าเกษตรปลอดภัย และแหล่งจำหน่ายสินค้า
  - ตรวจรับรองแหล่งผลิต/จำหน่ายสินค้าเกษตรปลอดัย และร้านอาหารวัตถุดิบปลอดภัย
  - จัดงานแสดงสินค้าจำหน่ายสินค้าเกษตรและอาหารปลอดภัย</t>
  </si>
  <si>
    <t>สนง. เกษตรและสหกรณ์จังหวัด</t>
  </si>
  <si>
    <t xml:space="preserve"> 7.7 ส่งเสริมการเลี้ยงกบและการเลี้ยงปลาดุกปลอดภัย</t>
  </si>
  <si>
    <t xml:space="preserve"> - จัดฝึกอบรมให้ความรู้เกษตรกรและประชาชนที่สนใจ เกี่ยวกับการเลี้ยงกบ และปลาดุก 
 - ส่งเสริมการเลี้ยงกบและปลาดุก สนับสนุนพันธุ์และอุปกรณ์การเลี้ยง </t>
  </si>
  <si>
    <t>ที่ทำการปกครองอำเภอภาชี</t>
  </si>
  <si>
    <t>โครงการสร้างความเข้มแข็งให้แก่เกษตรกรและเครือข่าย ปี ๒๕๕๖</t>
  </si>
  <si>
    <t>สนง. สหกรณ์จังหวัด: เจ้าภาพหลัก</t>
  </si>
  <si>
    <t xml:space="preserve"> 8.1 การพัฒนาต้นแบบนวัตกรรมการผลิตข้าวหอมชลสิทธิ์ปลอดภัยแบบครบวงจร</t>
  </si>
  <si>
    <t xml:space="preserve"> - สนับสนุนเมล็ดพันธุ์ข้าว และปัจจัยการผลิตให้แก่เกษตรกร
 - อบรมถ่ายทอดเทคโนโลยีการผลิตดเมล็ดพันธุ์ข้าว</t>
  </si>
  <si>
    <t>สนง. สหกรณ์จังหวัด</t>
  </si>
  <si>
    <t xml:space="preserve"> 8.2 นำร่องพัฒนาการผลิตผักปลอดภัยแบบครบวงจร</t>
  </si>
  <si>
    <t xml:space="preserve"> - อบรมเกษตรกรในหลักสูตรการผลิตพืชผักให้ได้มาตรฐานและใบรับรอง GAP 
 - ปรับปรุงดิน
 - ออกใบรับรอง GAP
 - จัดอบรมหลักสูตรการจัดการผลผลิตหลังการเก็บเกี่ยว 
 - สนับสนุนสถานที่จุดรวบรวมผลผลิตที่ได้มาตรฐาน
 - สนับสนุนวัสดุอุปกรณ์สำหรับคัดแยกและเครื่องบรรจุภัณฑ์ 
 - จัดนิทรรศการเกี่ยวกับสินค้าเกษตรปลอดภัย
 - ค่าตู้อบรมครัวแบบใช้เชื้อเพลิง 5 ตู้ ๆ ละ 20,000  บาท 
 - ค่าเครื่องทำความเย็น 1 เครื่อง ๆ ละ 475,000 บาท 
 - ค่าก่อสร้างห้องสินค้า (ห้องเย็น) หมู่ 3 ต.พระยาบันลือ อ.ลาดบัวหลวง (350,000 บาท)
 - ปรับปรุงอาคารเก็บสินค้า หมู่ 3 ต.พระยาบันลือ อ.ลาดบัวหลวง (1,975,000 บาท)</t>
  </si>
  <si>
    <t>สนง. การปฏิรูปที่ดินจังหวัด</t>
  </si>
  <si>
    <t xml:space="preserve"> 8.3 แปรรูปและพัฒนาเพิ่มมูลค่าผลผลิตทางการเกษตรปลอดภัย</t>
  </si>
  <si>
    <t xml:space="preserve"> </t>
  </si>
  <si>
    <t xml:space="preserve"> - พัฒนาการแปรรูปผลิตภัณฑ์สินค้าเกษตรและการถนอมอาหารบรรจุภัณฑ์ที่สะอาด
 - จัดอบรมเกี่ยวกบการพัฒนาการผลิตให้ได้มาตรฐานและศึกษาดูงาน
 - สนับสนุนพันธุ์ปลา กบ และปัจจัยการผลิตแก่เกษตรกร
 - สนับสนุนอุปกรณ์ตู้อบรมควันแบบใช้เชื้อเพลิงแก่องค์กรเกษตรกร</t>
  </si>
  <si>
    <t>สนง. ประมงจังหวัด</t>
  </si>
  <si>
    <t xml:space="preserve"> 8.4 แปรรูปและพัฒนาเพิ่มมูลค่าผลผลิตเกษตรปลอดภัยในวิสาหกิจชุมชนและกลุ่มแม่บ้านเกษตรกร ปี ๒๕๕๖ </t>
  </si>
  <si>
    <t xml:space="preserve"> - จัดอบรมกลุ่มสมาชิกวิสาหกิจชุมชนและแม่บ้าน 
 - จัดหาวัสดุอุปกรณ์ให้แก่กลุ่มสมาชิกวิสาหกิจชุมชนและแม่บ้าน
 - ประชาสัมพันธ์ผลผลิตของสมาชิก
 - </t>
  </si>
  <si>
    <t>โครงการพัฒนาโครงสร้างพื้นฐานการผลิต/แหล่งน้ำ ปี ๒๕๕๖</t>
  </si>
  <si>
    <t xml:space="preserve"> - </t>
  </si>
  <si>
    <t>โครงการชลประทานพระนครศรีอยุธยา : เจ้าภาพหลัก</t>
  </si>
  <si>
    <t xml:space="preserve"> 9.1 พัฒนาโครงสร้างพื้นฐานการผลิต/แหล่งน้ำ ในบริเวณพื้นที่ดำเนินการมูลนิธิชัยพัฒนา ตำบลลาดบัวหลวง ระยะที่ ๑</t>
  </si>
  <si>
    <t xml:space="preserve"> - ก่อสร้างอาคารสูบน้ำด้วยไฟฟ้า พร้อมติดตั้งระบบควบคุมและระบบไฟฟ้า ต.ลาดบัวหลวง </t>
  </si>
  <si>
    <t>โครงการส่งน้ำและบำรุงรักษาเจ้าเจ็ด-บางยี่หน</t>
  </si>
  <si>
    <t xml:space="preserve"> 9.2 พัฒนาโครงสร้างพื้นฐานการผลิต/แหล่งน้ำ ในพื้นที่ ตำบลดอนหญ้านาง อำเภอภาชี</t>
  </si>
  <si>
    <t xml:space="preserve"> - ก่อสร้างอาคารสูบน้ำด้วยไฟฟ้า พร้อมติดตั้ง อ.ภาชี </t>
  </si>
  <si>
    <t>ที่ทำการปกครองอำเภอภาชี(อบต.ดอนหญ้านาง)</t>
  </si>
  <si>
    <t>ประเด็นยุทธศาสตร์ที่ ๔ : เสริมสร้างภูมิคุ้มกันทางสังคมและพัฒนาคุณภาพวิถีชีวิต</t>
  </si>
  <si>
    <t xml:space="preserve">รวม  2  โครงการ  17 กิจกรรม </t>
  </si>
  <si>
    <t xml:space="preserve"> โครงการเสริมสร้างสังคมเมืองน่าอยู่</t>
  </si>
  <si>
    <t>(1) งาน "การพัฒนาเมืองน่าอยู่"</t>
  </si>
  <si>
    <t xml:space="preserve">ก่อสร้างเขื่อนป้องกันตลิ่งและปรับปรุงภูมิทัศน์ริมแม่น้ำเจ้าพระยา – ป่า สัก </t>
  </si>
  <si>
    <t xml:space="preserve"> 10.1  ก่อสร้างเขื่อนป้องกันตลิ่งและปรับปรุงภูมิทัศน์ริมแม่น้ำป่าสัก หมู่ที่ ๑๐  ตำบลท่าหลวง  อำเภอท่าเรือ </t>
  </si>
  <si>
    <t xml:space="preserve"> - ก่อสร้างเขื่อนป้องกันตลิ่งและปรับปรุงภูมิทัศน์ ระยะทาง 200 เมตร ต.ท่าหลวง อ.ท่าเรือ</t>
  </si>
  <si>
    <t>สนง. โยธาธิการและผังเมือง</t>
  </si>
  <si>
    <t>(2) งาน "พัฒนาประสิทธิภาพในการจัดการสิ่งแวดล้อมโดยการมีส่วนร่วมของชุมชน"</t>
  </si>
  <si>
    <t xml:space="preserve"> 10.2  พระนครศรีอยุธยาเมืองสะอาด โดยสนับสนุนชุมชนลดน้ำเสียและปลอดขยะ (Zero Waste)</t>
  </si>
  <si>
    <t xml:space="preserve"> - อบรมประชาชนทั่วไป เกี่ยวกับการลดน้ำเสียและขยะปลอดภัย
 - ประกวดชุมชนปลอดขยะ และจัดทำสื่อประชาสัมพันธ์ชุมชนปลอดขยะ 
 - ก่อสร้างระบบบำบัดน้ำเสียเบื้องต้นจากโรงอาหาร จำนวน 10 แห่ง </t>
  </si>
  <si>
    <t>สนง. ทรัพยากรธรรมชาติและสิ่งแวดล้อมจังหวัดฯ</t>
  </si>
  <si>
    <t xml:space="preserve"> 10.3 สร้างความตระหนักและเผยแพร่ข้อมูลด้านทรัพยากรธรรมชาติและสิ่งแวดล้อมแก่ประชาชน</t>
  </si>
  <si>
    <t xml:space="preserve"> - จ้างเหมาจัดทำแผนปฎิบัติการเพื่อการจัดการขยะมูลฝอยที่ถูกหลักสุขาภิบาล 
 - จัดทำสื่อประชาสัมพันธ์การจัดการขยะมูลฝอยที่ถูกหลักสุขาภิบาล</t>
  </si>
  <si>
    <t xml:space="preserve"> 10.4 ส่งเสริมการใช้ก๊าซชีวภาพจากมูลสัตว์ </t>
  </si>
  <si>
    <t xml:space="preserve"> - อบรมประชาชนให้ความรู้เกี่ยวกับการใช้ก๊าซชีวภาพและการดูแลรักษาอุปกรณ์
 - จัดซื้อวัสดุและอุปกรณ์ในการผลิตก๊าซชีวภาพจากมูลสัตว์ในครัวเรือน จำนวน 56  แห่ง</t>
  </si>
  <si>
    <t>สนง.พลังงานจังหวัด</t>
  </si>
  <si>
    <t>(3) งาน "เสริมสร้างและยกระดับความปลอดภัยในชีวิตและทรัพย์สินของประชาชน"</t>
  </si>
  <si>
    <t xml:space="preserve"> 10.5 ติดตั้งกล้องวงจรปิด CCTV เพื่อเตรียมความพร้อมรองรับการจัดงาน World Expo ๒๐๒๐ </t>
  </si>
  <si>
    <t xml:space="preserve"> - ติดตั้งกล้อง CCTV  พร้อมอุปกรณ์ ระบบควบคุม และติดตั้งโครงข่ายสายใยแก้วนำแสง จำนวน 10 จุด </t>
  </si>
  <si>
    <t>สนง. ตำรวจภูธรจังหวัด</t>
  </si>
  <si>
    <t xml:space="preserve"> 10.6 การป้องกันและแก้ไขปัญหายาเสพติด </t>
  </si>
  <si>
    <t xml:space="preserve"> - จัดตั้งจุดสกัดกั้นการลำเลียงยาเสพติดในพื้นที่ 4 ครั้งต่อเดือน
 - จัดซื้อชุดตรวจหาสารเสพติด จำนวน 8,000  ชุด ๆ ละ 12 บาท
 - ตรวจค้นกดดันผู้ต้องหาและค้นหาผู้เกี่ยวข้องกับยาเสพติด
 - จัดประกวดกองทุนแม่ของแผ่นดิน ใน 16 อำเภอ
 - อบรมเยาวชนเกี่ยวกับหมู่บ้านและโรงเรียนสีขาว </t>
  </si>
  <si>
    <t>ศตส.จ.</t>
  </si>
  <si>
    <t xml:space="preserve"> 10.7 ส่งเสริมและพัฒนาศักยภาพการจัดการสาธารณภัยเพื่อพัฒนาสังคมเมืองน่าอยู่ </t>
  </si>
  <si>
    <t xml:space="preserve">  - จัดซื้อเครื่องตรวจวัดแอลกอฮอร์ จำนวน 11 ชุด ๆ ละ 90,000 บาท</t>
  </si>
  <si>
    <t>สนง. ป้องกันและบรรเทาสาธารณภัยจังหวัด</t>
  </si>
  <si>
    <t xml:space="preserve">(4) งาน "ส่งเสริมค่านิยมที่ดีของชีวิตครอบครัว" </t>
  </si>
  <si>
    <t xml:space="preserve"> 10.8 เสริมสร้างครอบครัวเข้มแข็งและพัฒนากลไกศูนย์พัฒนาครอบครัวในชุมชน </t>
  </si>
  <si>
    <t xml:space="preserve"> - จัดกิจกรรมฐานเรียนรู้เรื่องครอบครัว จำนวน 82 ศูนย์ 
 - จัดฝึกอบรมให้ความรู้เรื่องครอบครัว ให้แก่ประชาชน 200 คน 
 - ประชาสัมพันธ์เกี่ยวกับการเสริมสร้างครอบครัวให้เข้มแข็ง
 - จัดกิจกรรมเกี่ยวกับการพัฒนาครอบครัวระดับตำบล </t>
  </si>
  <si>
    <t>สนง.พัฒนาสังคมและความมั่นคงของมนุษย์จังหวัด</t>
  </si>
  <si>
    <t xml:space="preserve"> 10.9 ยกระดับคุณภาพชีวิตของคนพิการ </t>
  </si>
  <si>
    <t xml:space="preserve"> -  อบรมให้ความรู้และแนวทางการช่วยเหลือผู้พิการสำหรับผู้ปกครองและอาสาสมัคร 
 - จัดทำระบบข้อมูลสารสนเทศคนพิการ
 - ก่อสร้างอาคารศูนย์ส่งเสริมพัฒนาคุณภาพชีวิตคนพิการ อ.บางไทร</t>
  </si>
  <si>
    <t>ศูนย์การศึกษาพิเศษ ประจำจังหวัด</t>
  </si>
  <si>
    <t xml:space="preserve"> 10.10 พัฒนาระบบการดูแลผู้ป่วย ผู้พิการ ผู้สูงอายุ ในชุมชน โรงพยาบาลภาชี</t>
  </si>
  <si>
    <t xml:space="preserve"> - ค่าจ้างเหมาอาสาสมัครดูแลผู้ป่วย ผู้สูงอายุ ผู้พิการในชุมชน
 - จัดนิทรรศการเกี่ยวกับการดูแลคนพิการ ผู้สูงอายุ 
 - ค่าที่ดินและสิ่งก่อสร้าง ปรับปรุงศูนย์พักพิงตำบลพระแก้ว อ.ภาชี  และค่าปรับปรุงห้องกระตุ้นการพัฒนาการ รพ.ภาชี</t>
  </si>
  <si>
    <t>ที่ทำการปกครองอำเภอภาชี และ โรงพยาบาลภาชี</t>
  </si>
  <si>
    <t>(5) งาน "การพัฒนาศักยภาพทางสังคมและสุขอนามัยประชาชนจังหวัดพระนครศรีอยุธยา เพื่อไปสู่ world expo 2020"</t>
  </si>
  <si>
    <t xml:space="preserve"> 10.11 การอบรมพัฒนาความรู้และทักษะการสื่อสารภาษาอังกฤษ แก่กลุ่มเป้าหมาย เตรียมพร้อมสู่ world Expo 2020 </t>
  </si>
  <si>
    <t xml:space="preserve"> - อบรมความรู้เกี่ยวกับการพัฒนาทักษะการสื่อสาร ประวัติศาสตร์ และมัคคุเทศก์ ให้กับนักเรียน
 - จัดทำเอกสารและสื่อการใช้ภาษาสำหรับนักเรียน ผู้ประกอบการ รถรับจ้าง 
 - จัดค่ายกิจกรรมฝึกทักษะภาษาอังกฤษ </t>
  </si>
  <si>
    <t>สนง. เขตพื้นที่การศึกษาประถมเขต ๑</t>
  </si>
  <si>
    <t xml:space="preserve"> 10.12 จัดกิจกรรมแข่งขันกีฬาสากล กีฬาไทย และกิจกรรมนันทนาการ </t>
  </si>
  <si>
    <t xml:space="preserve"> - จัดแข่งขันกีฬาระดับอำเภอ ระดับจังหวัด 
 - จัดซื้อจักรยานสำหรับให้ประชาชนยืมออกกำลังกายในสนามกีฬา</t>
  </si>
  <si>
    <t>สนง.ท่องเที่ยวและกีฬาจังหวัด</t>
  </si>
  <si>
    <t xml:space="preserve"> 10.13 พัฒนาการจัดกระบวนการเรียนการสอนเพศศึกษารอบด้าน </t>
  </si>
  <si>
    <t xml:space="preserve"> - จัดอบรมการสอนเพศศึกษาแก่ครูแกนนำ</t>
  </si>
  <si>
    <t>สนง.เขตพื้นที่การศึกษาประถมเขต ๑</t>
  </si>
  <si>
    <t xml:space="preserve"> 10.14 พัฒนายกระดับส้วมสาธารณะเป้าหมายในจังหวัดให้ได้มาตรฐาน HAS (Healthy Accessibility Safety : สะอาด เพียงพอ ปลอดภัย)</t>
  </si>
  <si>
    <t xml:space="preserve"> - จัดประกวดส้วมสะอาดในสถานที่ราชการ 
 - จ้างเหมาซ่อมแซมส้วมที่ไม่ได้มาตรฐานของส่วนราชการ</t>
  </si>
  <si>
    <t>สนง. สาธารณสุขจังหวัด</t>
  </si>
  <si>
    <t xml:space="preserve"> 10.15 รณรงค์ส่งเสริมการออกกำลังกายและพักผ่อนหย่อนใจ </t>
  </si>
  <si>
    <t xml:space="preserve"> - จัดกิจกรรมแอโรบิค และนันทนาการ ของอำเภอภาชี</t>
  </si>
  <si>
    <t xml:space="preserve">(6) งาน "การพัฒนาชุมชนให้น่าอยู่ ส่งเสริมชุมชน ดำเนินชีวิตด้วยหลักเศรษฐกิจพอเพียง" </t>
  </si>
  <si>
    <t xml:space="preserve"> 10.16 สร้างกระบวนการเรียนรู้ชุมชนด้วยหลักเศรษฐกิจพอเพียง</t>
  </si>
  <si>
    <t xml:space="preserve"> - จัดกิจกรรมการผลิตภัณฑ์เพื่อสร้างการเรียนรู้ชุมชนของหมู่บ้าน จำนวน 16 หมู่บ้าน </t>
  </si>
  <si>
    <t>โครงการก่อสร้างเขื่อนป้องกันตลิ่งและปรับปรุงภูมิทัศน์ริมแม่น้ำเจ้าพระยา – ป่า สัก</t>
  </si>
  <si>
    <t xml:space="preserve"> - ก่อสร้างเขื่อนป้องกันตลิ่งและปรับปรุงภูมิทัศน์ ระยะทาง 120 เมตร วัดโคกหิรัญ ต.บางชะนี  อ.บางบาล </t>
  </si>
  <si>
    <t>งบบริหารงานจังหวัด
แบบบุรณาการ(งบรายจ่ายอื่น)</t>
  </si>
  <si>
    <t xml:space="preserve">  </t>
  </si>
  <si>
    <t xml:space="preserve">  - ค่าใช้จ่ายในการบริหารงานจังหวัดแบบบูรณาการ  (งบรายจ่ายอื่น) </t>
  </si>
  <si>
    <t xml:space="preserve">สำนักงานจังหวัด </t>
  </si>
  <si>
    <t>รวมงบประมาณทั้ง 4 ประเด็นยุทธศาสตร์</t>
  </si>
  <si>
    <t xml:space="preserve">วงเงินตาม
พ.ร.บ. </t>
  </si>
  <si>
    <t>งบประมาณ</t>
  </si>
  <si>
    <t>ชื่อ-นามสกุล</t>
  </si>
  <si>
    <t>ตำแหน่ง</t>
  </si>
  <si>
    <t>เบอร์สำนักงาน</t>
  </si>
  <si>
    <t>เบอร์มือถือ</t>
  </si>
  <si>
    <t>ที่ทำการปกครองอำเภอลาดบัวหลวง</t>
  </si>
  <si>
    <t>นส.รุติราภรณ์ โชติสุวรรณภัทร์</t>
  </si>
  <si>
    <t>ครูผู้ช่วย</t>
  </si>
  <si>
    <t>ที่ทำการปกครองจังหวัดและสำนักงานจังหวัด</t>
  </si>
  <si>
    <t>นส.สโรชา ด้วงเกิด</t>
  </si>
  <si>
    <t>ปลัดอำเภอ</t>
  </si>
  <si>
    <t xml:space="preserve">สนง.โยธาธิการและผังเมือง : </t>
  </si>
  <si>
    <t>นส.กัลยาณี นรสิงห์</t>
  </si>
  <si>
    <t>รอง ผอ.สนง.เขตพื้นที่ฯ เขต 1</t>
  </si>
  <si>
    <t>0-3532-9481 ต่อ 210</t>
  </si>
  <si>
    <t>08-6659-5078</t>
  </si>
  <si>
    <t>08-1994-2403</t>
  </si>
  <si>
    <t>08-6813-9938</t>
  </si>
  <si>
    <t>นายทำเนียบ กลัดแก้ว</t>
  </si>
  <si>
    <t>สัตวแพทย์ชำนาญงาน</t>
  </si>
  <si>
    <t>08-1909-2281</t>
  </si>
  <si>
    <t>นางสุมาลี ปกป้อง</t>
  </si>
  <si>
    <t>นักวิเคราะห์นโยบายและแผนชำนาญการ</t>
  </si>
  <si>
    <t>นางวันวิสาข์ ศิริภัทร์ภูวดล</t>
  </si>
  <si>
    <t>08-6883-0729</t>
  </si>
  <si>
    <t>08-9808-7187</t>
  </si>
  <si>
    <t>08-1948-0858</t>
  </si>
  <si>
    <t>นางเพลินตา ชินประหัษฐ์</t>
  </si>
  <si>
    <t>นักวิชาการสหกรณ์ชำนาญการ</t>
  </si>
  <si>
    <t>08-1281-3758</t>
  </si>
  <si>
    <t>นายอดุล ภิบาลทรัพย์</t>
  </si>
  <si>
    <t>นายขวัญเมือง ศิริบรรลือหาญ</t>
  </si>
  <si>
    <t>นายช่างโยธาอาวุโส</t>
  </si>
  <si>
    <t>08-6122-7479</t>
  </si>
  <si>
    <t>นส.สุพรรษา รัมมะโรจ์</t>
  </si>
  <si>
    <t>เจ้าหน้าที่บริหารงานทั่วไป</t>
  </si>
  <si>
    <t>08-6566-0067</t>
  </si>
  <si>
    <t>นางนพวรรณ รื่นพล</t>
  </si>
  <si>
    <t>ปลัดอำเภอ(เจ้าพนักงานปกครองชำนาญการ)</t>
  </si>
  <si>
    <t>08-7188-8336</t>
  </si>
  <si>
    <t>นส.อภิรดี รื่นกลิ่นจันทน์</t>
  </si>
  <si>
    <t>นักพัฒนาชุมชน ชำนาญการ</t>
  </si>
  <si>
    <t>08-6506-5831</t>
  </si>
  <si>
    <t>นายธราธิป บุญบุตร</t>
  </si>
  <si>
    <t>นักวิชาการเกษตรชำนาญการ</t>
  </si>
  <si>
    <t>08-6753-1844</t>
  </si>
  <si>
    <t>นส.อรสา สังข์เงิน</t>
  </si>
  <si>
    <t>จนท.วิเคราะห์นโยบายและแผน</t>
  </si>
  <si>
    <t>08-6615-1992</t>
  </si>
  <si>
    <t>นส.อิทธฺญา พึ่งเป็นสุข</t>
  </si>
  <si>
    <t>นักวิชาการส่งเสริมการเกษตรปฏิบัติการ</t>
  </si>
  <si>
    <t>หัวหน้ากลุ่มงานยุทธศาสตร์และสารสนเทศ</t>
  </si>
  <si>
    <t>08-6600-8198</t>
  </si>
  <si>
    <t>08-5195-8148</t>
  </si>
  <si>
    <t>นายวันชัย อุสาหะ</t>
  </si>
  <si>
    <t>นายสุรสี เรือนทอง</t>
  </si>
  <si>
    <t>นักวิชาการส่งเสริมการเกษตรชำนาญการ</t>
  </si>
  <si>
    <t>08-1274-6401</t>
  </si>
  <si>
    <t>อนุมัติ</t>
  </si>
  <si>
    <t>เบิกจ่าย</t>
  </si>
  <si>
    <t>คงเหลือ</t>
  </si>
  <si>
    <t>สนง.ท่องเที่ยวและกีฬาฯ (ม.ราชภัฎ)</t>
  </si>
  <si>
    <t>สำนักงานจังหวัด</t>
  </si>
  <si>
    <t>2.1 ขับเคลื่อนยุทธศาสตร์จังหวัดให้รองรับการเป็นเจ้าภาพ World Expo 2020</t>
  </si>
  <si>
    <t>2.2 พัฒนาบุคลากรเครือข่ายท่องเที่ยวเพื่อรองรับการเป็นเจ้าภาพ World Expo 2020</t>
  </si>
  <si>
    <t>ที่ทำการปกครองจังหวัด</t>
  </si>
  <si>
    <t xml:space="preserve">สนง.ท่องเที่ยวและกีฬาฯ </t>
  </si>
  <si>
    <t>3.1 ปรับปรุงภูมิทัศน์ศูนย์ประวัติศาสตร์จังหวัดพระนครศรีอยุธยา</t>
  </si>
  <si>
    <t xml:space="preserve">3.2 ปรับปรุงภูมิทัศน์ตัวเมืองอยุธยา </t>
  </si>
  <si>
    <t>3.3 ปรับปรุงภูมิทัศน์บริเวณใกล้เคียงศูนย์ศิลปาชีพบางไทร</t>
  </si>
  <si>
    <t>3.4 พัฒนาศูนย์จำหน่ายผลิตภัณฑ์ชุมชนพื้นที่ตลาดกลางเพื่อการเกษตร</t>
  </si>
  <si>
    <t>3.5 จัดทำป้ายกราฟฟิคบอร์ดประชาสัมพันธ์การท่องเที่ยว</t>
  </si>
  <si>
    <t xml:space="preserve">3.6 ปรับปรุงภูมิทัศน์เพื่อส่งเสริมการท่องเที่ยวริมฝั่งแม่น้ำป่าสัก หมู่ที่ 10  (บริเวณหน้าวัดไก่จ้น) </t>
  </si>
  <si>
    <t>3.7 พัฒนาแหล่งน้ำเพื่อการท่องเที่ยว</t>
  </si>
  <si>
    <t>3.8 ส่งเสริมการท่องเที่ยวหมู่บ้าน OTOP เชื่อมโยงศูนย์เรียนรู้ภูมิปัญญาท้องถิ่น</t>
  </si>
  <si>
    <t>ประเด็นยุทธศาสตร์ที่ 2 : ส่งเสริมบริการโลจิสติกส์ การค้า การลงทุน และพัฒนาอุตสาหกรรมสะอาด</t>
  </si>
  <si>
    <t xml:space="preserve">สนง.โยธาธิการและผังเมือง  </t>
  </si>
  <si>
    <t>ประเด็นยุทธศาสตร์ที่ 3 : พัฒนาแหล่งผลิตสินค้าเกษตรปลอดภัย</t>
  </si>
  <si>
    <t>โครงการสร้างความเข้มแข็งให้แก่เกษตรกรและเครือข่าย ปี 2556</t>
  </si>
  <si>
    <t>โครงการพัฒนาโครงสร้างพื้นฐานการผลิต/แหล่งน้ำ ปี 2556</t>
  </si>
  <si>
    <t>ประเด็นยุทธศาสตร์ที่ 4 : เสริมสร้างภูมิคุ้มกันทางสังคมและพัฒนาคุณภาพวิถีชีวิต</t>
  </si>
  <si>
    <t>สนง.เขตพื้นที่การศึกษาประถมเขต 1</t>
  </si>
  <si>
    <t>สนง. เขตพื้นที่การศึกษาประถมเขต 1</t>
  </si>
  <si>
    <t xml:space="preserve">นส.ณิรดา  อ่อนน้อม </t>
  </si>
  <si>
    <t>นักสังคมสงเคราะห์ชำนาญการ</t>
  </si>
  <si>
    <t>นส.กรรณิกา เฉลยจิตร</t>
  </si>
  <si>
    <t>08-6320-5899</t>
  </si>
  <si>
    <t>08-1810-6642</t>
  </si>
  <si>
    <t>รวมงบประมาณทั้ง 4 ประเด็นยุทธศาสตร์ 11 โครงการ 45 กิจกรรม</t>
  </si>
  <si>
    <t xml:space="preserve"> 6.1 ปลูกข้าวกินเองแบบบูรณาการ</t>
  </si>
  <si>
    <t xml:space="preserve"> 6.2 ส่งเสริมการผลิตสินค้าเกษตรปลอดภัยให้ได้มาตรฐาน</t>
  </si>
  <si>
    <t xml:space="preserve"> 6.3 ส่งเสริมการกระจายการผลิตพืชปลอดภัยเพื่อสร้างรายได้หลังการทำนา ปี 2556</t>
  </si>
  <si>
    <t xml:space="preserve"> 6.4 ปรับปรุงคุณภาพดินเพื่อส่งเสริมการผลิตข้าวปลอดภัย</t>
  </si>
  <si>
    <t xml:space="preserve"> 6.5 เพิ่มประสิทธิภาพการผลิตปศุสัตว์จังหวัดพระนครศรีอยุธยา</t>
  </si>
  <si>
    <t>6.6 การรับรองและประชาสัมพันธ์แหล่งผลิตแหล่งจำหน่ายสินค้าเกษตรและอาหารปลอดภัย</t>
  </si>
  <si>
    <t xml:space="preserve"> 6.7 ส่งเสริมการเลี้ยงกบและการเลี้ยงปลาดุกปลอดภัย</t>
  </si>
  <si>
    <t xml:space="preserve"> 7.1 การพัฒนาต้นแบบนวัตกรรมการผลิตข้าวหอมชลสิทธิ์ปลอดภัยแบบครบวงจร</t>
  </si>
  <si>
    <t xml:space="preserve"> 7.2 นำร่องพัฒนาการผลิตผักปลอดภัยแบบครบวงจร</t>
  </si>
  <si>
    <t xml:space="preserve"> 7.3 แปรรูปและพัฒนาเพิ่มมูลค่าผลผลิตทางการเกษตรปลอดภัย</t>
  </si>
  <si>
    <t xml:space="preserve"> 7.4 แปรรูปและพัฒนาเพิ่มมูลค่าผลผลิตเกษตรปลอดภัยในวิสาหกิจชุมชนและกลุ่มแม่บ้านเกษตรกร ปี 2556</t>
  </si>
  <si>
    <t xml:space="preserve"> 8.1 พัฒนาโครงสร้างพื้นฐานการผลิต/แหล่งน้ำ ในบริเวณพื้นที่ดำเนินการมูลนิธิชัยพัฒนา ตำบลลาดบัวหลวง ระยะที่ ๑</t>
  </si>
  <si>
    <t xml:space="preserve"> 8.2 พัฒนาโครงสร้างพื้นฐานการผลิต/แหล่งน้ำ ในพื้นที่ ตำบลดอนหญ้านาง อำเภอภาชี</t>
  </si>
  <si>
    <t xml:space="preserve">9.1  ก่อสร้างเขื่อนป้องกันตลิ่งและปรับปรุงภูมิทัศน์ริมแม่น้ำป่าสัก หมู่ที่ 10  ตำบลท่าหลวง  อำเภอท่าเรือ </t>
  </si>
  <si>
    <t>9.2  พระนครศรีอยุธยาเมืองสะอาด โดยสนับสนุนชุมชนลดน้ำเสียและปลอดขยะ (Zero Waste)</t>
  </si>
  <si>
    <t xml:space="preserve">9.4 ส่งเสริมการใช้ก๊าซชีวภาพจากมูลสัตว์ </t>
  </si>
  <si>
    <t>9.3 สร้างความตระหนักและเผยแพร่ข้อมูลด้านทรัพยากรธรรมชาติและสิ่งแวดล้อมแก่ประชาชน</t>
  </si>
  <si>
    <t xml:space="preserve">9.5 ติดตั้งกล้องวงจรปิด CCTV เพื่อเตรียมความพร้อมรองรับการจัดงาน World Expo ๒๐๒๐ </t>
  </si>
  <si>
    <t xml:space="preserve">9.6 การป้องกันและแก้ไขปัญหายาเสพติด </t>
  </si>
  <si>
    <t xml:space="preserve">9.7 ส่งเสริมและพัฒนาศักยภาพการจัดการสาธารณภัยเพื่อพัฒนาสังคมเมืองน่าอยู่ </t>
  </si>
  <si>
    <t xml:space="preserve">9.8 เสริมสร้างครอบครัวเข้มแข็งและพัฒนากลไกศูนย์พัฒนาครอบครัวในชุมชน </t>
  </si>
  <si>
    <t xml:space="preserve">9.9 ยกระดับคุณภาพชีวิตของคนพิการ </t>
  </si>
  <si>
    <t xml:space="preserve"> 9.10 พัฒนาระบบการดูแลผู้ป่วย ผู้พิการ ผู้สูงอายุ ในชุมชน โรงพยาบาลภาชี</t>
  </si>
  <si>
    <t xml:space="preserve">9.12 จัดกิจกรรมแข่งขันกีฬาสากล กีฬาไทย และกิจกรรมนันทนาการ </t>
  </si>
  <si>
    <t>9.14 พัฒนายกระดับส้วมสาธารณะเป้าหมายในจังหวัดให้ได้มาตรฐาน HAS (Healthy Accessibility Safety : สะอาด เพียงพอ ปลอดภัย)</t>
  </si>
  <si>
    <t xml:space="preserve">9.15 รณรงค์ส่งเสริมการออกกำลังกายและพักผ่อนหย่อนใจ </t>
  </si>
  <si>
    <t>9.16 สร้างกระบวนการเรียนรู้ชุมชนด้วยหลักเศรษฐกิจพอเพียง</t>
  </si>
  <si>
    <t>ü</t>
  </si>
  <si>
    <t xml:space="preserve">9.11 การอบรมพัฒนาความรู้และทักษะการสื่อสารภาษาอังกฤษ แก่กลุ่มเป้าหมาย เตรียมพร้อมสู่ world Expo 2020 </t>
  </si>
  <si>
    <t xml:space="preserve">9.13 พัฒนาการจัดกระบวนการเรียนการสอนเพศศึกษารอบด้าน 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</si>
</sst>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_-"/>
    <numFmt numFmtId="189" formatCode="_(* #,##0_);_(* \(#,##0\);_(* &quot;-&quot;??_);_(@_)"/>
    <numFmt numFmtId="190" formatCode="t#,##0_);[Red]\(t&quot;฿&quot;#,##0\)"/>
    <numFmt numFmtId="191" formatCode="[&lt;=99999999][$-1000000]0\-####\-####;[$-1000000]#\-####\-####"/>
  </numFmts>
  <fonts count="25">
    <font>
      <sz val="10"/>
      <name val="Arial"/>
      <charset val="222"/>
    </font>
    <font>
      <b/>
      <sz val="12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Wingdings"/>
      <charset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8">
    <xf numFmtId="0" fontId="0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26" applyNumberFormat="0" applyAlignment="0" applyProtection="0"/>
    <xf numFmtId="0" fontId="9" fillId="21" borderId="27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4" fillId="0" borderId="3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26" applyNumberFormat="0" applyAlignment="0" applyProtection="0"/>
    <xf numFmtId="0" fontId="16" fillId="0" borderId="31" applyNumberFormat="0" applyFill="0" applyAlignment="0" applyProtection="0"/>
    <xf numFmtId="0" fontId="17" fillId="22" borderId="0" applyNumberFormat="0" applyBorder="0" applyAlignment="0" applyProtection="0"/>
    <xf numFmtId="0" fontId="3" fillId="0" borderId="0"/>
    <xf numFmtId="0" fontId="4" fillId="23" borderId="32" applyNumberFormat="0" applyFont="0" applyAlignment="0" applyProtection="0"/>
    <xf numFmtId="0" fontId="18" fillId="20" borderId="33" applyNumberFormat="0" applyAlignment="0" applyProtection="0"/>
    <xf numFmtId="0" fontId="19" fillId="0" borderId="0" applyNumberFormat="0" applyFill="0" applyBorder="0" applyAlignment="0" applyProtection="0"/>
    <xf numFmtId="0" fontId="20" fillId="0" borderId="34" applyNumberFormat="0" applyFill="0" applyAlignment="0" applyProtection="0"/>
    <xf numFmtId="0" fontId="21" fillId="0" borderId="0" applyNumberForma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 applyFill="1" applyAlignment="1">
      <alignment vertical="top" wrapText="1"/>
    </xf>
    <xf numFmtId="0" fontId="2" fillId="0" borderId="6" xfId="1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189" fontId="1" fillId="0" borderId="8" xfId="2" applyNumberFormat="1" applyFont="1" applyBorder="1" applyAlignment="1">
      <alignment vertical="top"/>
    </xf>
    <xf numFmtId="189" fontId="1" fillId="0" borderId="3" xfId="2" applyNumberFormat="1" applyFont="1" applyBorder="1" applyAlignment="1">
      <alignment vertical="top"/>
    </xf>
    <xf numFmtId="0" fontId="1" fillId="0" borderId="8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vertical="top" wrapText="1" shrinkToFit="1"/>
    </xf>
    <xf numFmtId="0" fontId="1" fillId="0" borderId="8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left" vertical="top" wrapText="1" shrinkToFit="1"/>
    </xf>
    <xf numFmtId="189" fontId="1" fillId="0" borderId="9" xfId="2" applyNumberFormat="1" applyFont="1" applyBorder="1" applyAlignment="1">
      <alignment vertical="top"/>
    </xf>
    <xf numFmtId="189" fontId="1" fillId="0" borderId="10" xfId="2" applyNumberFormat="1" applyFont="1" applyBorder="1" applyAlignment="1">
      <alignment vertical="top"/>
    </xf>
    <xf numFmtId="189" fontId="1" fillId="0" borderId="11" xfId="2" applyNumberFormat="1" applyFont="1" applyBorder="1" applyAlignment="1">
      <alignment vertical="top" wrapText="1"/>
    </xf>
    <xf numFmtId="189" fontId="1" fillId="0" borderId="11" xfId="2" applyNumberFormat="1" applyFont="1" applyBorder="1" applyAlignment="1">
      <alignment vertical="top"/>
    </xf>
    <xf numFmtId="0" fontId="1" fillId="0" borderId="8" xfId="0" applyFont="1" applyFill="1" applyBorder="1" applyAlignment="1">
      <alignment horizontal="left" vertical="top" wrapText="1" shrinkToFit="1"/>
    </xf>
    <xf numFmtId="61" fontId="1" fillId="0" borderId="8" xfId="0" applyNumberFormat="1" applyFont="1" applyFill="1" applyBorder="1" applyAlignment="1">
      <alignment horizontal="right" vertical="top" wrapText="1" shrinkToFit="1"/>
    </xf>
    <xf numFmtId="188" fontId="1" fillId="0" borderId="12" xfId="1" applyNumberFormat="1" applyFont="1" applyFill="1" applyBorder="1" applyAlignment="1">
      <alignment horizontal="right" vertical="top" wrapText="1" shrinkToFit="1"/>
    </xf>
    <xf numFmtId="189" fontId="1" fillId="0" borderId="13" xfId="2" applyNumberFormat="1" applyFont="1" applyBorder="1" applyAlignment="1">
      <alignment vertical="top" wrapText="1"/>
    </xf>
    <xf numFmtId="189" fontId="1" fillId="0" borderId="14" xfId="2" applyNumberFormat="1" applyFont="1" applyBorder="1" applyAlignment="1">
      <alignment vertical="top" wrapText="1"/>
    </xf>
    <xf numFmtId="189" fontId="1" fillId="0" borderId="15" xfId="2" applyNumberFormat="1" applyFont="1" applyBorder="1" applyAlignment="1">
      <alignment vertical="top" wrapText="1"/>
    </xf>
    <xf numFmtId="0" fontId="2" fillId="0" borderId="3" xfId="1" applyNumberFormat="1" applyFont="1" applyFill="1" applyBorder="1" applyAlignment="1">
      <alignment horizontal="left" vertical="top" wrapText="1" shrinkToFit="1"/>
    </xf>
    <xf numFmtId="0" fontId="1" fillId="0" borderId="8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 shrinkToFit="1"/>
    </xf>
    <xf numFmtId="61" fontId="2" fillId="0" borderId="8" xfId="0" applyNumberFormat="1" applyFont="1" applyFill="1" applyBorder="1" applyAlignment="1">
      <alignment horizontal="right" vertical="top" wrapText="1" shrinkToFit="1"/>
    </xf>
    <xf numFmtId="0" fontId="2" fillId="0" borderId="8" xfId="0" applyFont="1" applyFill="1" applyBorder="1" applyAlignment="1">
      <alignment vertical="top" wrapText="1"/>
    </xf>
    <xf numFmtId="188" fontId="1" fillId="0" borderId="5" xfId="1" applyNumberFormat="1" applyFont="1" applyFill="1" applyBorder="1" applyAlignment="1">
      <alignment horizontal="right" vertical="top" wrapText="1" shrinkToFit="1"/>
    </xf>
    <xf numFmtId="189" fontId="2" fillId="0" borderId="5" xfId="2" applyNumberFormat="1" applyFont="1" applyBorder="1" applyAlignment="1">
      <alignment vertical="top"/>
    </xf>
    <xf numFmtId="189" fontId="2" fillId="0" borderId="8" xfId="2" applyNumberFormat="1" applyFont="1" applyBorder="1" applyAlignment="1">
      <alignment vertical="top"/>
    </xf>
    <xf numFmtId="189" fontId="2" fillId="0" borderId="3" xfId="2" applyNumberFormat="1" applyFont="1" applyBorder="1" applyAlignment="1">
      <alignment vertical="top" wrapText="1"/>
    </xf>
    <xf numFmtId="189" fontId="2" fillId="0" borderId="5" xfId="2" applyNumberFormat="1" applyFont="1" applyFill="1" applyBorder="1" applyAlignment="1">
      <alignment vertical="top"/>
    </xf>
    <xf numFmtId="189" fontId="2" fillId="0" borderId="8" xfId="2" applyNumberFormat="1" applyFont="1" applyFill="1" applyBorder="1" applyAlignment="1">
      <alignment vertical="top"/>
    </xf>
    <xf numFmtId="189" fontId="1" fillId="0" borderId="5" xfId="2" applyNumberFormat="1" applyFont="1" applyFill="1" applyBorder="1" applyAlignment="1">
      <alignment vertical="top"/>
    </xf>
    <xf numFmtId="189" fontId="1" fillId="0" borderId="8" xfId="2" applyNumberFormat="1" applyFont="1" applyFill="1" applyBorder="1" applyAlignment="1">
      <alignment vertical="top"/>
    </xf>
    <xf numFmtId="189" fontId="1" fillId="0" borderId="3" xfId="2" applyNumberFormat="1" applyFont="1" applyBorder="1" applyAlignment="1">
      <alignment vertical="top" wrapText="1"/>
    </xf>
    <xf numFmtId="0" fontId="2" fillId="0" borderId="8" xfId="0" applyFont="1" applyFill="1" applyBorder="1" applyAlignment="1">
      <alignment vertical="top" wrapText="1" shrinkToFit="1"/>
    </xf>
    <xf numFmtId="189" fontId="1" fillId="0" borderId="5" xfId="2" applyNumberFormat="1" applyFont="1" applyBorder="1" applyAlignment="1">
      <alignment vertical="top"/>
    </xf>
    <xf numFmtId="0" fontId="1" fillId="0" borderId="0" xfId="0" applyFont="1" applyFill="1" applyBorder="1" applyAlignment="1">
      <alignment vertical="top" wrapText="1" shrinkToFit="1"/>
    </xf>
    <xf numFmtId="188" fontId="1" fillId="0" borderId="8" xfId="1" applyNumberFormat="1" applyFont="1" applyFill="1" applyBorder="1" applyAlignment="1">
      <alignment horizontal="right" vertical="top" wrapText="1" shrinkToFit="1"/>
    </xf>
    <xf numFmtId="0" fontId="2" fillId="0" borderId="3" xfId="0" applyFont="1" applyFill="1" applyBorder="1" applyAlignment="1">
      <alignment vertical="top" wrapText="1" shrinkToFit="1"/>
    </xf>
    <xf numFmtId="189" fontId="2" fillId="0" borderId="8" xfId="2" applyNumberFormat="1" applyFont="1" applyBorder="1" applyAlignment="1">
      <alignment vertical="top" wrapText="1"/>
    </xf>
    <xf numFmtId="189" fontId="2" fillId="0" borderId="9" xfId="2" applyNumberFormat="1" applyFont="1" applyBorder="1" applyAlignment="1">
      <alignment vertical="top"/>
    </xf>
    <xf numFmtId="189" fontId="2" fillId="0" borderId="10" xfId="2" applyNumberFormat="1" applyFont="1" applyBorder="1" applyAlignment="1">
      <alignment vertical="top"/>
    </xf>
    <xf numFmtId="189" fontId="2" fillId="0" borderId="11" xfId="2" applyNumberFormat="1" applyFont="1" applyBorder="1" applyAlignment="1">
      <alignment vertical="top" wrapText="1"/>
    </xf>
    <xf numFmtId="0" fontId="1" fillId="0" borderId="8" xfId="0" applyFont="1" applyFill="1" applyBorder="1" applyAlignment="1">
      <alignment horizontal="right" vertical="top" wrapText="1" shrinkToFit="1"/>
    </xf>
    <xf numFmtId="188" fontId="1" fillId="0" borderId="8" xfId="0" applyNumberFormat="1" applyFont="1" applyFill="1" applyBorder="1" applyAlignment="1">
      <alignment horizontal="left" vertical="top" wrapText="1" shrinkToFit="1"/>
    </xf>
    <xf numFmtId="61" fontId="1" fillId="0" borderId="7" xfId="0" applyNumberFormat="1" applyFont="1" applyFill="1" applyBorder="1" applyAlignment="1">
      <alignment horizontal="right" vertical="top" wrapText="1" shrinkToFit="1"/>
    </xf>
    <xf numFmtId="0" fontId="1" fillId="0" borderId="7" xfId="0" applyFont="1" applyFill="1" applyBorder="1" applyAlignment="1">
      <alignment vertical="top" wrapText="1"/>
    </xf>
    <xf numFmtId="188" fontId="1" fillId="0" borderId="12" xfId="1" applyNumberFormat="1" applyFont="1" applyFill="1" applyBorder="1" applyAlignment="1">
      <alignment horizontal="right" vertical="top" wrapText="1"/>
    </xf>
    <xf numFmtId="189" fontId="2" fillId="0" borderId="12" xfId="2" applyNumberFormat="1" applyFont="1" applyBorder="1" applyAlignment="1">
      <alignment vertical="top"/>
    </xf>
    <xf numFmtId="189" fontId="2" fillId="0" borderId="7" xfId="2" applyNumberFormat="1" applyFont="1" applyBorder="1" applyAlignment="1">
      <alignment vertical="top"/>
    </xf>
    <xf numFmtId="189" fontId="2" fillId="0" borderId="16" xfId="2" applyNumberFormat="1" applyFont="1" applyBorder="1" applyAlignment="1">
      <alignment vertical="top" wrapText="1"/>
    </xf>
    <xf numFmtId="0" fontId="2" fillId="0" borderId="16" xfId="1" applyNumberFormat="1" applyFont="1" applyFill="1" applyBorder="1" applyAlignment="1">
      <alignment horizontal="left" vertical="top" wrapText="1"/>
    </xf>
    <xf numFmtId="188" fontId="1" fillId="0" borderId="5" xfId="1" applyNumberFormat="1" applyFont="1" applyFill="1" applyBorder="1" applyAlignment="1">
      <alignment horizontal="right" vertical="top" wrapText="1"/>
    </xf>
    <xf numFmtId="189" fontId="2" fillId="0" borderId="17" xfId="2" applyNumberFormat="1" applyFont="1" applyBorder="1" applyAlignment="1">
      <alignment vertical="top"/>
    </xf>
    <xf numFmtId="189" fontId="2" fillId="0" borderId="18" xfId="2" applyNumberFormat="1" applyFont="1" applyBorder="1" applyAlignment="1">
      <alignment vertical="top"/>
    </xf>
    <xf numFmtId="189" fontId="2" fillId="0" borderId="19" xfId="2" applyNumberFormat="1" applyFont="1" applyBorder="1" applyAlignment="1">
      <alignment vertical="top" wrapText="1"/>
    </xf>
    <xf numFmtId="189" fontId="2" fillId="0" borderId="20" xfId="2" applyNumberFormat="1" applyFont="1" applyBorder="1" applyAlignment="1">
      <alignment vertical="top" wrapText="1"/>
    </xf>
    <xf numFmtId="0" fontId="2" fillId="0" borderId="3" xfId="1" applyNumberFormat="1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 shrinkToFit="1"/>
    </xf>
    <xf numFmtId="59" fontId="1" fillId="0" borderId="8" xfId="0" applyNumberFormat="1" applyFont="1" applyFill="1" applyBorder="1" applyAlignment="1">
      <alignment horizontal="right" vertical="top" wrapText="1" shrinkToFit="1"/>
    </xf>
    <xf numFmtId="0" fontId="1" fillId="0" borderId="7" xfId="0" applyFont="1" applyFill="1" applyBorder="1" applyAlignment="1">
      <alignment vertical="top" wrapText="1" shrinkToFit="1"/>
    </xf>
    <xf numFmtId="189" fontId="1" fillId="0" borderId="13" xfId="2" applyNumberFormat="1" applyFont="1" applyFill="1" applyBorder="1" applyAlignment="1">
      <alignment vertical="top"/>
    </xf>
    <xf numFmtId="189" fontId="1" fillId="0" borderId="14" xfId="2" applyNumberFormat="1" applyFont="1" applyFill="1" applyBorder="1" applyAlignment="1">
      <alignment vertical="top"/>
    </xf>
    <xf numFmtId="189" fontId="1" fillId="0" borderId="21" xfId="2" applyNumberFormat="1" applyFont="1" applyBorder="1" applyAlignment="1">
      <alignment vertical="top" wrapText="1"/>
    </xf>
    <xf numFmtId="189" fontId="2" fillId="0" borderId="21" xfId="2" applyNumberFormat="1" applyFont="1" applyBorder="1" applyAlignment="1">
      <alignment vertical="top" wrapText="1"/>
    </xf>
    <xf numFmtId="188" fontId="1" fillId="0" borderId="4" xfId="1" applyNumberFormat="1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horizontal="center" vertical="top" wrapText="1" shrinkToFit="1"/>
    </xf>
    <xf numFmtId="188" fontId="1" fillId="0" borderId="8" xfId="1" applyNumberFormat="1" applyFont="1" applyFill="1" applyBorder="1" applyAlignment="1">
      <alignment horizontal="right" vertical="top" wrapText="1"/>
    </xf>
    <xf numFmtId="189" fontId="1" fillId="0" borderId="9" xfId="2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8" xfId="3" applyFont="1" applyFill="1" applyBorder="1" applyAlignment="1">
      <alignment vertical="top" wrapText="1" shrinkToFit="1"/>
    </xf>
    <xf numFmtId="0" fontId="2" fillId="0" borderId="8" xfId="3" applyFont="1" applyFill="1" applyBorder="1" applyAlignment="1">
      <alignment vertical="top" wrapText="1" shrinkToFit="1"/>
    </xf>
    <xf numFmtId="190" fontId="2" fillId="0" borderId="8" xfId="0" applyNumberFormat="1" applyFont="1" applyFill="1" applyBorder="1" applyAlignment="1">
      <alignment vertical="top" wrapText="1" shrinkToFit="1"/>
    </xf>
    <xf numFmtId="0" fontId="2" fillId="0" borderId="8" xfId="3" applyFont="1" applyFill="1" applyBorder="1" applyAlignment="1">
      <alignment vertical="top" wrapText="1"/>
    </xf>
    <xf numFmtId="61" fontId="1" fillId="0" borderId="8" xfId="0" applyNumberFormat="1" applyFont="1" applyFill="1" applyBorder="1" applyAlignment="1">
      <alignment horizontal="right" vertical="top" wrapText="1"/>
    </xf>
    <xf numFmtId="2" fontId="2" fillId="0" borderId="8" xfId="3" applyNumberFormat="1" applyFont="1" applyFill="1" applyBorder="1" applyAlignment="1">
      <alignment vertical="top" wrapText="1" shrinkToFit="1"/>
    </xf>
    <xf numFmtId="188" fontId="1" fillId="0" borderId="0" xfId="1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8" xfId="3" applyFont="1" applyFill="1" applyBorder="1" applyAlignment="1">
      <alignment horizontal="left" vertical="top" wrapText="1" shrinkToFit="1"/>
    </xf>
    <xf numFmtId="0" fontId="1" fillId="0" borderId="8" xfId="3" applyFont="1" applyFill="1" applyBorder="1" applyAlignment="1">
      <alignment horizontal="left" vertical="top" wrapText="1" shrinkToFit="1"/>
    </xf>
    <xf numFmtId="0" fontId="1" fillId="0" borderId="8" xfId="3" applyFont="1" applyFill="1" applyBorder="1" applyAlignment="1">
      <alignment vertical="top" wrapText="1"/>
    </xf>
    <xf numFmtId="189" fontId="2" fillId="0" borderId="22" xfId="2" applyNumberFormat="1" applyFont="1" applyFill="1" applyBorder="1" applyAlignment="1">
      <alignment vertical="top"/>
    </xf>
    <xf numFmtId="189" fontId="2" fillId="0" borderId="23" xfId="2" applyNumberFormat="1" applyFont="1" applyFill="1" applyBorder="1" applyAlignment="1">
      <alignment vertical="top"/>
    </xf>
    <xf numFmtId="189" fontId="1" fillId="0" borderId="23" xfId="2" applyNumberFormat="1" applyFont="1" applyFill="1" applyBorder="1" applyAlignment="1">
      <alignment vertical="top"/>
    </xf>
    <xf numFmtId="61" fontId="1" fillId="0" borderId="24" xfId="0" applyNumberFormat="1" applyFont="1" applyFill="1" applyBorder="1" applyAlignment="1">
      <alignment horizontal="right" vertical="top" wrapText="1"/>
    </xf>
    <xf numFmtId="0" fontId="2" fillId="0" borderId="24" xfId="0" applyFont="1" applyFill="1" applyBorder="1" applyAlignment="1">
      <alignment vertical="top" wrapText="1"/>
    </xf>
    <xf numFmtId="188" fontId="1" fillId="0" borderId="24" xfId="1" applyNumberFormat="1" applyFont="1" applyFill="1" applyBorder="1" applyAlignment="1">
      <alignment horizontal="right" vertical="top" wrapText="1"/>
    </xf>
    <xf numFmtId="188" fontId="2" fillId="0" borderId="24" xfId="1" applyNumberFormat="1" applyFont="1" applyFill="1" applyBorder="1" applyAlignment="1">
      <alignment horizontal="left" vertical="top" wrapText="1"/>
    </xf>
    <xf numFmtId="61" fontId="1" fillId="0" borderId="0" xfId="0" applyNumberFormat="1" applyFont="1" applyFill="1" applyBorder="1" applyAlignment="1">
      <alignment horizontal="right" vertical="top" wrapText="1"/>
    </xf>
    <xf numFmtId="0" fontId="2" fillId="0" borderId="0" xfId="1" applyNumberFormat="1" applyFont="1" applyFill="1" applyBorder="1" applyAlignment="1">
      <alignment horizontal="left" vertical="top" wrapText="1"/>
    </xf>
    <xf numFmtId="61" fontId="1" fillId="0" borderId="0" xfId="0" applyNumberFormat="1" applyFont="1" applyFill="1" applyAlignment="1">
      <alignment horizontal="right" vertical="top" wrapText="1"/>
    </xf>
    <xf numFmtId="188" fontId="1" fillId="0" borderId="25" xfId="1" applyNumberFormat="1" applyFont="1" applyFill="1" applyBorder="1" applyAlignment="1">
      <alignment horizontal="right" vertical="top" wrapText="1"/>
    </xf>
    <xf numFmtId="0" fontId="2" fillId="0" borderId="25" xfId="1" applyNumberFormat="1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 wrapText="1"/>
    </xf>
    <xf numFmtId="191" fontId="2" fillId="0" borderId="8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191" fontId="1" fillId="0" borderId="8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 shrinkToFit="1"/>
    </xf>
    <xf numFmtId="49" fontId="1" fillId="0" borderId="8" xfId="0" applyNumberFormat="1" applyFont="1" applyFill="1" applyBorder="1" applyAlignment="1">
      <alignment horizontal="center" vertical="top" wrapText="1" shrinkToFit="1"/>
    </xf>
    <xf numFmtId="49" fontId="2" fillId="0" borderId="0" xfId="0" applyNumberFormat="1" applyFont="1" applyFill="1" applyBorder="1" applyAlignment="1">
      <alignment horizontal="center" vertical="top" wrapText="1"/>
    </xf>
    <xf numFmtId="191" fontId="2" fillId="0" borderId="0" xfId="0" applyNumberFormat="1" applyFont="1" applyFill="1" applyAlignment="1">
      <alignment horizontal="center" vertical="top" wrapText="1"/>
    </xf>
    <xf numFmtId="191" fontId="2" fillId="0" borderId="8" xfId="0" applyNumberFormat="1" applyFont="1" applyFill="1" applyBorder="1" applyAlignment="1">
      <alignment horizontal="center" vertical="top" wrapText="1" shrinkToFit="1"/>
    </xf>
    <xf numFmtId="191" fontId="1" fillId="0" borderId="8" xfId="0" applyNumberFormat="1" applyFont="1" applyFill="1" applyBorder="1" applyAlignment="1">
      <alignment horizontal="center" vertical="top" wrapText="1" shrinkToFit="1"/>
    </xf>
    <xf numFmtId="191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vertical="top" wrapText="1"/>
    </xf>
    <xf numFmtId="188" fontId="1" fillId="0" borderId="1" xfId="1" applyNumberFormat="1" applyFont="1" applyFill="1" applyBorder="1" applyAlignment="1">
      <alignment horizontal="right" vertical="top" wrapText="1"/>
    </xf>
    <xf numFmtId="0" fontId="23" fillId="0" borderId="0" xfId="0" applyFont="1" applyFill="1" applyAlignment="1">
      <alignment vertical="top" wrapText="1"/>
    </xf>
    <xf numFmtId="189" fontId="22" fillId="0" borderId="8" xfId="2" applyNumberFormat="1" applyFont="1" applyBorder="1" applyAlignment="1">
      <alignment vertical="top"/>
    </xf>
    <xf numFmtId="0" fontId="22" fillId="0" borderId="8" xfId="0" applyFont="1" applyFill="1" applyBorder="1" applyAlignment="1">
      <alignment vertical="top" wrapText="1" shrinkToFit="1"/>
    </xf>
    <xf numFmtId="0" fontId="23" fillId="0" borderId="8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 wrapText="1"/>
    </xf>
    <xf numFmtId="0" fontId="22" fillId="0" borderId="3" xfId="0" applyFont="1" applyFill="1" applyBorder="1" applyAlignment="1">
      <alignment horizontal="left" vertical="top" wrapText="1" shrinkToFit="1"/>
    </xf>
    <xf numFmtId="189" fontId="22" fillId="0" borderId="9" xfId="2" applyNumberFormat="1" applyFont="1" applyBorder="1" applyAlignment="1">
      <alignment vertical="top"/>
    </xf>
    <xf numFmtId="0" fontId="22" fillId="0" borderId="8" xfId="0" applyFont="1" applyFill="1" applyBorder="1" applyAlignment="1">
      <alignment horizontal="left" vertical="top" wrapText="1" shrinkToFit="1"/>
    </xf>
    <xf numFmtId="188" fontId="22" fillId="0" borderId="12" xfId="1" applyNumberFormat="1" applyFont="1" applyFill="1" applyBorder="1" applyAlignment="1">
      <alignment horizontal="right" vertical="top" wrapText="1" shrinkToFit="1"/>
    </xf>
    <xf numFmtId="0" fontId="22" fillId="0" borderId="8" xfId="0" applyFont="1" applyFill="1" applyBorder="1" applyAlignment="1">
      <alignment vertical="top" wrapText="1"/>
    </xf>
    <xf numFmtId="0" fontId="23" fillId="0" borderId="8" xfId="0" applyFont="1" applyFill="1" applyBorder="1" applyAlignment="1">
      <alignment vertical="top" wrapText="1" shrinkToFit="1"/>
    </xf>
    <xf numFmtId="0" fontId="23" fillId="0" borderId="0" xfId="0" applyFont="1" applyFill="1" applyBorder="1" applyAlignment="1">
      <alignment vertical="top" wrapText="1" shrinkToFit="1"/>
    </xf>
    <xf numFmtId="188" fontId="22" fillId="0" borderId="5" xfId="1" applyNumberFormat="1" applyFont="1" applyFill="1" applyBorder="1" applyAlignment="1">
      <alignment horizontal="right" vertical="top" wrapText="1" shrinkToFit="1"/>
    </xf>
    <xf numFmtId="189" fontId="23" fillId="0" borderId="5" xfId="2" applyNumberFormat="1" applyFont="1" applyFill="1" applyBorder="1" applyAlignment="1">
      <alignment vertical="top"/>
    </xf>
    <xf numFmtId="0" fontId="22" fillId="0" borderId="0" xfId="0" applyFont="1" applyFill="1" applyBorder="1" applyAlignment="1">
      <alignment vertical="top" wrapText="1" shrinkToFit="1"/>
    </xf>
    <xf numFmtId="188" fontId="22" fillId="0" borderId="8" xfId="1" applyNumberFormat="1" applyFont="1" applyFill="1" applyBorder="1" applyAlignment="1">
      <alignment horizontal="right" vertical="top" wrapText="1" shrinkToFit="1"/>
    </xf>
    <xf numFmtId="188" fontId="22" fillId="0" borderId="8" xfId="0" applyNumberFormat="1" applyFont="1" applyFill="1" applyBorder="1" applyAlignment="1">
      <alignment horizontal="left" vertical="top" wrapText="1" shrinkToFit="1"/>
    </xf>
    <xf numFmtId="0" fontId="22" fillId="0" borderId="7" xfId="0" applyFont="1" applyFill="1" applyBorder="1" applyAlignment="1">
      <alignment vertical="top" wrapText="1"/>
    </xf>
    <xf numFmtId="188" fontId="22" fillId="0" borderId="12" xfId="1" applyNumberFormat="1" applyFont="1" applyFill="1" applyBorder="1" applyAlignment="1">
      <alignment horizontal="right" vertical="top" wrapText="1"/>
    </xf>
    <xf numFmtId="188" fontId="22" fillId="0" borderId="5" xfId="1" applyNumberFormat="1" applyFont="1" applyFill="1" applyBorder="1" applyAlignment="1">
      <alignment horizontal="right" vertical="top" wrapText="1"/>
    </xf>
    <xf numFmtId="0" fontId="22" fillId="0" borderId="7" xfId="0" applyFont="1" applyFill="1" applyBorder="1" applyAlignment="1">
      <alignment horizontal="left" vertical="top" wrapText="1" shrinkToFit="1"/>
    </xf>
    <xf numFmtId="0" fontId="22" fillId="0" borderId="7" xfId="0" applyFont="1" applyFill="1" applyBorder="1" applyAlignment="1">
      <alignment vertical="top" wrapText="1" shrinkToFit="1"/>
    </xf>
    <xf numFmtId="188" fontId="22" fillId="0" borderId="4" xfId="1" applyNumberFormat="1" applyFont="1" applyFill="1" applyBorder="1" applyAlignment="1">
      <alignment horizontal="right" vertical="top" wrapText="1"/>
    </xf>
    <xf numFmtId="0" fontId="22" fillId="0" borderId="8" xfId="0" applyFont="1" applyFill="1" applyBorder="1" applyAlignment="1">
      <alignment horizontal="center" vertical="top" wrapText="1" shrinkToFit="1"/>
    </xf>
    <xf numFmtId="188" fontId="22" fillId="0" borderId="8" xfId="1" applyNumberFormat="1" applyFont="1" applyFill="1" applyBorder="1" applyAlignment="1">
      <alignment horizontal="right" vertical="top" wrapText="1"/>
    </xf>
    <xf numFmtId="0" fontId="22" fillId="0" borderId="0" xfId="0" applyFont="1" applyFill="1" applyBorder="1" applyAlignment="1">
      <alignment vertical="top" wrapText="1"/>
    </xf>
    <xf numFmtId="0" fontId="22" fillId="0" borderId="8" xfId="3" applyFont="1" applyFill="1" applyBorder="1" applyAlignment="1">
      <alignment vertical="top" wrapText="1" shrinkToFit="1"/>
    </xf>
    <xf numFmtId="0" fontId="23" fillId="0" borderId="8" xfId="3" applyFont="1" applyFill="1" applyBorder="1" applyAlignment="1">
      <alignment vertical="top" wrapText="1" shrinkToFit="1"/>
    </xf>
    <xf numFmtId="190" fontId="23" fillId="0" borderId="8" xfId="0" applyNumberFormat="1" applyFont="1" applyFill="1" applyBorder="1" applyAlignment="1">
      <alignment vertical="top" wrapText="1" shrinkToFit="1"/>
    </xf>
    <xf numFmtId="0" fontId="23" fillId="0" borderId="8" xfId="3" applyFont="1" applyFill="1" applyBorder="1" applyAlignment="1">
      <alignment vertical="top" wrapText="1"/>
    </xf>
    <xf numFmtId="2" fontId="23" fillId="0" borderId="8" xfId="3" applyNumberFormat="1" applyFont="1" applyFill="1" applyBorder="1" applyAlignment="1">
      <alignment vertical="top" wrapText="1" shrinkToFit="1"/>
    </xf>
    <xf numFmtId="188" fontId="22" fillId="0" borderId="0" xfId="1" applyNumberFormat="1" applyFont="1" applyFill="1" applyBorder="1" applyAlignment="1">
      <alignment horizontal="right" vertical="top" wrapText="1"/>
    </xf>
    <xf numFmtId="0" fontId="23" fillId="0" borderId="8" xfId="3" applyFont="1" applyFill="1" applyBorder="1" applyAlignment="1">
      <alignment horizontal="left" vertical="top" wrapText="1" shrinkToFit="1"/>
    </xf>
    <xf numFmtId="0" fontId="22" fillId="0" borderId="8" xfId="3" applyFont="1" applyFill="1" applyBorder="1" applyAlignment="1">
      <alignment horizontal="left" vertical="top" wrapText="1" shrinkToFit="1"/>
    </xf>
    <xf numFmtId="0" fontId="22" fillId="0" borderId="8" xfId="3" applyFont="1" applyFill="1" applyBorder="1" applyAlignment="1">
      <alignment vertical="top" wrapText="1"/>
    </xf>
    <xf numFmtId="0" fontId="23" fillId="0" borderId="25" xfId="0" applyFont="1" applyFill="1" applyBorder="1" applyAlignment="1">
      <alignment vertical="top" wrapText="1"/>
    </xf>
    <xf numFmtId="1" fontId="22" fillId="0" borderId="8" xfId="0" applyNumberFormat="1" applyFont="1" applyFill="1" applyBorder="1" applyAlignment="1">
      <alignment horizontal="right" vertical="top" wrapText="1"/>
    </xf>
    <xf numFmtId="1" fontId="22" fillId="0" borderId="8" xfId="0" applyNumberFormat="1" applyFont="1" applyFill="1" applyBorder="1" applyAlignment="1">
      <alignment horizontal="right" vertical="top" wrapText="1" shrinkToFit="1"/>
    </xf>
    <xf numFmtId="1" fontId="23" fillId="0" borderId="8" xfId="0" applyNumberFormat="1" applyFont="1" applyFill="1" applyBorder="1" applyAlignment="1">
      <alignment horizontal="right" vertical="top" wrapText="1" shrinkToFit="1"/>
    </xf>
    <xf numFmtId="1" fontId="22" fillId="0" borderId="7" xfId="0" applyNumberFormat="1" applyFont="1" applyFill="1" applyBorder="1" applyAlignment="1">
      <alignment horizontal="right" vertical="top" wrapText="1" shrinkToFit="1"/>
    </xf>
    <xf numFmtId="1" fontId="22" fillId="0" borderId="0" xfId="0" applyNumberFormat="1" applyFont="1" applyFill="1" applyAlignment="1">
      <alignment horizontal="right" vertical="top" wrapText="1"/>
    </xf>
    <xf numFmtId="0" fontId="23" fillId="0" borderId="8" xfId="0" applyNumberFormat="1" applyFont="1" applyFill="1" applyBorder="1" applyAlignment="1">
      <alignment vertical="top" wrapText="1"/>
    </xf>
    <xf numFmtId="0" fontId="22" fillId="0" borderId="8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188" fontId="22" fillId="0" borderId="2" xfId="1" applyNumberFormat="1" applyFont="1" applyFill="1" applyBorder="1" applyAlignment="1">
      <alignment horizontal="center" vertical="top" wrapText="1"/>
    </xf>
    <xf numFmtId="0" fontId="23" fillId="0" borderId="8" xfId="0" applyFont="1" applyFill="1" applyBorder="1" applyAlignment="1">
      <alignment horizontal="center" vertical="top" wrapText="1"/>
    </xf>
    <xf numFmtId="0" fontId="23" fillId="0" borderId="8" xfId="0" applyFont="1" applyFill="1" applyBorder="1" applyAlignment="1">
      <alignment horizontal="center" vertical="top" wrapText="1" shrinkToFit="1"/>
    </xf>
    <xf numFmtId="0" fontId="24" fillId="0" borderId="8" xfId="0" applyFont="1" applyFill="1" applyBorder="1" applyAlignment="1">
      <alignment horizontal="center" vertical="top" wrapText="1" shrinkToFit="1"/>
    </xf>
    <xf numFmtId="0" fontId="23" fillId="0" borderId="0" xfId="0" applyFont="1" applyFill="1" applyAlignment="1">
      <alignment horizontal="center" vertical="top" wrapText="1"/>
    </xf>
    <xf numFmtId="188" fontId="23" fillId="0" borderId="8" xfId="1" applyNumberFormat="1" applyFont="1" applyFill="1" applyBorder="1" applyAlignment="1">
      <alignment horizontal="center" vertical="top" wrapText="1"/>
    </xf>
    <xf numFmtId="188" fontId="23" fillId="0" borderId="8" xfId="1" applyNumberFormat="1" applyFont="1" applyFill="1" applyBorder="1" applyAlignment="1">
      <alignment horizontal="center" vertical="top" wrapText="1" shrinkToFit="1"/>
    </xf>
    <xf numFmtId="188" fontId="22" fillId="0" borderId="8" xfId="1" applyNumberFormat="1" applyFont="1" applyFill="1" applyBorder="1" applyAlignment="1">
      <alignment horizontal="center" vertical="top" wrapText="1" shrinkToFit="1"/>
    </xf>
    <xf numFmtId="188" fontId="22" fillId="0" borderId="8" xfId="1" applyNumberFormat="1" applyFont="1" applyFill="1" applyBorder="1" applyAlignment="1">
      <alignment horizontal="center" vertical="top" wrapText="1"/>
    </xf>
    <xf numFmtId="188" fontId="23" fillId="0" borderId="0" xfId="1" applyNumberFormat="1" applyFont="1" applyFill="1" applyAlignment="1">
      <alignment horizontal="center" vertical="top" wrapText="1"/>
    </xf>
    <xf numFmtId="188" fontId="22" fillId="0" borderId="8" xfId="0" applyNumberFormat="1" applyFont="1" applyFill="1" applyBorder="1" applyAlignment="1">
      <alignment horizontal="center" vertical="top" wrapText="1"/>
    </xf>
    <xf numFmtId="1" fontId="22" fillId="0" borderId="2" xfId="0" applyNumberFormat="1" applyFont="1" applyFill="1" applyBorder="1" applyAlignment="1">
      <alignment horizontal="right" vertical="top" wrapText="1"/>
    </xf>
    <xf numFmtId="0" fontId="22" fillId="0" borderId="2" xfId="0" applyFont="1" applyFill="1" applyBorder="1" applyAlignment="1">
      <alignment vertical="top" wrapText="1"/>
    </xf>
    <xf numFmtId="188" fontId="22" fillId="0" borderId="36" xfId="1" applyNumberFormat="1" applyFont="1" applyFill="1" applyBorder="1" applyAlignment="1">
      <alignment horizontal="right" vertical="top" wrapText="1"/>
    </xf>
    <xf numFmtId="188" fontId="22" fillId="0" borderId="2" xfId="0" applyNumberFormat="1" applyFont="1" applyFill="1" applyBorder="1" applyAlignment="1">
      <alignment horizontal="center" vertical="top" wrapText="1"/>
    </xf>
    <xf numFmtId="1" fontId="22" fillId="0" borderId="35" xfId="0" applyNumberFormat="1" applyFont="1" applyFill="1" applyBorder="1" applyAlignment="1">
      <alignment horizontal="right" vertical="top" wrapText="1"/>
    </xf>
    <xf numFmtId="0" fontId="22" fillId="0" borderId="35" xfId="0" applyFont="1" applyFill="1" applyBorder="1" applyAlignment="1">
      <alignment vertical="top" wrapText="1"/>
    </xf>
    <xf numFmtId="188" fontId="22" fillId="0" borderId="37" xfId="1" applyNumberFormat="1" applyFont="1" applyFill="1" applyBorder="1" applyAlignment="1">
      <alignment horizontal="right" vertical="top" wrapText="1"/>
    </xf>
    <xf numFmtId="188" fontId="22" fillId="0" borderId="35" xfId="1" applyNumberFormat="1" applyFont="1" applyFill="1" applyBorder="1" applyAlignment="1">
      <alignment horizontal="right" vertical="top" wrapText="1"/>
    </xf>
    <xf numFmtId="0" fontId="22" fillId="0" borderId="35" xfId="0" applyFont="1" applyFill="1" applyBorder="1" applyAlignment="1">
      <alignment horizontal="center" vertical="top" wrapText="1"/>
    </xf>
    <xf numFmtId="188" fontId="22" fillId="0" borderId="35" xfId="1" applyNumberFormat="1" applyFont="1" applyFill="1" applyBorder="1" applyAlignment="1">
      <alignment horizontal="center" vertical="top" wrapText="1"/>
    </xf>
    <xf numFmtId="188" fontId="22" fillId="0" borderId="35" xfId="0" applyNumberFormat="1" applyFont="1" applyFill="1" applyBorder="1" applyAlignment="1">
      <alignment horizontal="center" vertical="top" wrapText="1"/>
    </xf>
    <xf numFmtId="1" fontId="22" fillId="24" borderId="8" xfId="0" applyNumberFormat="1" applyFont="1" applyFill="1" applyBorder="1" applyAlignment="1">
      <alignment horizontal="right" vertical="top" wrapText="1"/>
    </xf>
    <xf numFmtId="1" fontId="22" fillId="24" borderId="8" xfId="0" applyNumberFormat="1" applyFont="1" applyFill="1" applyBorder="1" applyAlignment="1">
      <alignment horizontal="right" vertical="top" wrapText="1" shrinkToFit="1"/>
    </xf>
    <xf numFmtId="0" fontId="1" fillId="0" borderId="3" xfId="0" applyFont="1" applyFill="1" applyBorder="1" applyAlignment="1">
      <alignment horizontal="left" vertical="top" wrapText="1" shrinkToFit="1"/>
    </xf>
    <xf numFmtId="0" fontId="1" fillId="0" borderId="4" xfId="0" applyFont="1" applyFill="1" applyBorder="1" applyAlignment="1">
      <alignment horizontal="left" vertical="top" wrapText="1" shrinkToFit="1"/>
    </xf>
    <xf numFmtId="0" fontId="1" fillId="0" borderId="5" xfId="0" applyFont="1" applyFill="1" applyBorder="1" applyAlignment="1">
      <alignment horizontal="left" vertical="top" wrapText="1" shrinkToFit="1"/>
    </xf>
    <xf numFmtId="0" fontId="1" fillId="0" borderId="16" xfId="0" applyFont="1" applyFill="1" applyBorder="1" applyAlignment="1">
      <alignment horizontal="left" vertical="top" wrapText="1" shrinkToFit="1"/>
    </xf>
    <xf numFmtId="0" fontId="1" fillId="0" borderId="1" xfId="0" applyFont="1" applyFill="1" applyBorder="1" applyAlignment="1">
      <alignment horizontal="left" vertical="top" wrapText="1" shrinkToFit="1"/>
    </xf>
    <xf numFmtId="0" fontId="1" fillId="0" borderId="1" xfId="0" applyFont="1" applyBorder="1" applyAlignment="1">
      <alignment horizontal="left" vertical="top" wrapText="1"/>
    </xf>
    <xf numFmtId="61" fontId="1" fillId="0" borderId="2" xfId="0" applyNumberFormat="1" applyFont="1" applyFill="1" applyBorder="1" applyAlignment="1">
      <alignment horizontal="center" vertical="top" wrapText="1"/>
    </xf>
    <xf numFmtId="61" fontId="1" fillId="0" borderId="7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188" fontId="1" fillId="0" borderId="2" xfId="1" applyNumberFormat="1" applyFont="1" applyFill="1" applyBorder="1" applyAlignment="1">
      <alignment horizontal="center" vertical="top" wrapText="1"/>
    </xf>
    <xf numFmtId="188" fontId="1" fillId="0" borderId="7" xfId="1" applyNumberFormat="1" applyFont="1" applyFill="1" applyBorder="1" applyAlignment="1">
      <alignment horizontal="center" vertical="top" wrapText="1"/>
    </xf>
    <xf numFmtId="189" fontId="1" fillId="0" borderId="3" xfId="2" applyNumberFormat="1" applyFont="1" applyBorder="1" applyAlignment="1">
      <alignment horizontal="center" vertical="top"/>
    </xf>
    <xf numFmtId="189" fontId="1" fillId="0" borderId="4" xfId="2" applyNumberFormat="1" applyFont="1" applyBorder="1" applyAlignment="1">
      <alignment horizontal="center" vertical="top"/>
    </xf>
    <xf numFmtId="189" fontId="1" fillId="0" borderId="5" xfId="2" applyNumberFormat="1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 wrapText="1"/>
    </xf>
    <xf numFmtId="0" fontId="22" fillId="24" borderId="3" xfId="0" applyFont="1" applyFill="1" applyBorder="1" applyAlignment="1">
      <alignment horizontal="left" vertical="top" wrapText="1" shrinkToFit="1"/>
    </xf>
    <xf numFmtId="0" fontId="22" fillId="24" borderId="4" xfId="0" applyFont="1" applyFill="1" applyBorder="1" applyAlignment="1">
      <alignment horizontal="left" vertical="top" wrapText="1" shrinkToFit="1"/>
    </xf>
    <xf numFmtId="0" fontId="22" fillId="24" borderId="5" xfId="0" applyFont="1" applyFill="1" applyBorder="1" applyAlignment="1">
      <alignment horizontal="left" vertical="top" wrapText="1" shrinkToFit="1"/>
    </xf>
    <xf numFmtId="0" fontId="22" fillId="0" borderId="8" xfId="0" applyFont="1" applyFill="1" applyBorder="1" applyAlignment="1">
      <alignment horizontal="center" vertical="top" wrapText="1"/>
    </xf>
    <xf numFmtId="188" fontId="22" fillId="0" borderId="8" xfId="1" applyNumberFormat="1" applyFont="1" applyFill="1" applyBorder="1" applyAlignment="1">
      <alignment horizontal="center" vertical="top" wrapText="1"/>
    </xf>
    <xf numFmtId="1" fontId="22" fillId="0" borderId="2" xfId="0" applyNumberFormat="1" applyFont="1" applyFill="1" applyBorder="1" applyAlignment="1">
      <alignment horizontal="center" vertical="top" wrapText="1"/>
    </xf>
    <xf numFmtId="1" fontId="22" fillId="0" borderId="7" xfId="0" applyNumberFormat="1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188" fontId="22" fillId="0" borderId="2" xfId="1" applyNumberFormat="1" applyFont="1" applyFill="1" applyBorder="1" applyAlignment="1">
      <alignment horizontal="center" vertical="top" wrapText="1"/>
    </xf>
    <xf numFmtId="188" fontId="22" fillId="0" borderId="7" xfId="1" applyNumberFormat="1" applyFont="1" applyFill="1" applyBorder="1" applyAlignment="1">
      <alignment horizontal="center" vertical="top" wrapText="1"/>
    </xf>
  </cellXfs>
  <cellStyles count="48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" xfId="1" builtinId="3"/>
    <cellStyle name="Comma 2" xfId="2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" xfId="0" builtinId="0"/>
    <cellStyle name="Normal 2" xfId="40"/>
    <cellStyle name="Normal 3" xfId="3"/>
    <cellStyle name="Note" xfId="41"/>
    <cellStyle name="Output" xfId="42"/>
    <cellStyle name="Title" xfId="43"/>
    <cellStyle name="Total" xfId="44"/>
    <cellStyle name="Warning Text" xfId="45"/>
    <cellStyle name="เครื่องหมายจุลภาค 2" xfId="46"/>
    <cellStyle name="เครื่องหมายจุลภาค 2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L77"/>
  <sheetViews>
    <sheetView view="pageBreakPreview" zoomScaleSheetLayoutView="100" workbookViewId="0">
      <pane xSplit="1" ySplit="3" topLeftCell="B67" activePane="bottomRight" state="frozen"/>
      <selection activeCell="B72" sqref="B72"/>
      <selection pane="topRight" activeCell="B72" sqref="B72"/>
      <selection pane="bottomLeft" activeCell="B72" sqref="B72"/>
      <selection pane="bottomRight" activeCell="B72" sqref="B72"/>
    </sheetView>
  </sheetViews>
  <sheetFormatPr defaultRowHeight="15.75"/>
  <cols>
    <col min="1" max="1" width="3.140625" style="91" customWidth="1"/>
    <col min="2" max="2" width="22.28515625" style="1" customWidth="1"/>
    <col min="3" max="3" width="13" style="77" customWidth="1"/>
    <col min="4" max="4" width="10.42578125" style="77" customWidth="1"/>
    <col min="5" max="5" width="11.7109375" style="77" customWidth="1"/>
    <col min="6" max="6" width="11.42578125" style="77" customWidth="1"/>
    <col min="7" max="7" width="11.7109375" style="77" customWidth="1"/>
    <col min="8" max="8" width="12.140625" style="92" customWidth="1"/>
    <col min="9" max="9" width="11.140625" style="77" customWidth="1"/>
    <col min="10" max="10" width="11.42578125" style="77" customWidth="1"/>
    <col min="11" max="11" width="27.28515625" style="93" customWidth="1"/>
    <col min="12" max="12" width="12.28515625" style="94" customWidth="1"/>
    <col min="13" max="16384" width="9.140625" style="1"/>
  </cols>
  <sheetData>
    <row r="1" spans="1:1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31.5" customHeight="1">
      <c r="A2" s="188" t="s">
        <v>1</v>
      </c>
      <c r="B2" s="190" t="s">
        <v>2</v>
      </c>
      <c r="C2" s="192" t="s">
        <v>183</v>
      </c>
      <c r="D2" s="194" t="s">
        <v>3</v>
      </c>
      <c r="E2" s="195"/>
      <c r="F2" s="195"/>
      <c r="G2" s="196"/>
      <c r="H2" s="194" t="s">
        <v>4</v>
      </c>
      <c r="I2" s="195"/>
      <c r="J2" s="196"/>
      <c r="K2" s="2" t="s">
        <v>5</v>
      </c>
      <c r="L2" s="3" t="s">
        <v>6</v>
      </c>
    </row>
    <row r="3" spans="1:12">
      <c r="A3" s="189"/>
      <c r="B3" s="191"/>
      <c r="C3" s="193"/>
      <c r="D3" s="4" t="s">
        <v>7</v>
      </c>
      <c r="E3" s="4" t="s">
        <v>8</v>
      </c>
      <c r="F3" s="4" t="s">
        <v>9</v>
      </c>
      <c r="G3" s="5" t="s">
        <v>10</v>
      </c>
      <c r="H3" s="4" t="s">
        <v>11</v>
      </c>
      <c r="I3" s="4" t="s">
        <v>12</v>
      </c>
      <c r="J3" s="5" t="s">
        <v>13</v>
      </c>
      <c r="K3" s="2"/>
      <c r="L3" s="3"/>
    </row>
    <row r="4" spans="1:12" s="9" customFormat="1" ht="18.75" customHeight="1">
      <c r="A4" s="6"/>
      <c r="B4" s="182" t="s">
        <v>14</v>
      </c>
      <c r="C4" s="183"/>
      <c r="D4" s="183"/>
      <c r="E4" s="183"/>
      <c r="F4" s="183"/>
      <c r="G4" s="183"/>
      <c r="H4" s="183"/>
      <c r="I4" s="183"/>
      <c r="J4" s="183"/>
      <c r="K4" s="7"/>
      <c r="L4" s="8"/>
    </row>
    <row r="5" spans="1:12" s="9" customFormat="1" ht="16.5" thickBot="1">
      <c r="A5" s="6"/>
      <c r="B5" s="10" t="s">
        <v>15</v>
      </c>
      <c r="C5" s="4">
        <f>C6+C11+C15</f>
        <v>67352900</v>
      </c>
      <c r="D5" s="11">
        <f>D6+D11+D15</f>
        <v>1835800</v>
      </c>
      <c r="E5" s="12">
        <f>E6+E11+E15</f>
        <v>34042000</v>
      </c>
      <c r="F5" s="12">
        <f>F6+F11+F15</f>
        <v>2495100</v>
      </c>
      <c r="G5" s="13">
        <f>SUM(D5:F5)</f>
        <v>38372900</v>
      </c>
      <c r="H5" s="12">
        <f>H6+H11+H15</f>
        <v>310000</v>
      </c>
      <c r="I5" s="12">
        <f>I6+I11+I15</f>
        <v>28670000</v>
      </c>
      <c r="J5" s="14">
        <f>SUM(H5:I5)</f>
        <v>28980000</v>
      </c>
      <c r="K5" s="10"/>
      <c r="L5" s="15"/>
    </row>
    <row r="6" spans="1:12" s="23" customFormat="1" ht="48" thickTop="1">
      <c r="A6" s="16">
        <v>1</v>
      </c>
      <c r="B6" s="8" t="s">
        <v>16</v>
      </c>
      <c r="C6" s="17">
        <v>16674600</v>
      </c>
      <c r="D6" s="18">
        <f t="shared" ref="D6:I6" si="0">SUM(D7:D10)</f>
        <v>872000</v>
      </c>
      <c r="E6" s="19">
        <f t="shared" si="0"/>
        <v>15802600</v>
      </c>
      <c r="F6" s="19">
        <f t="shared" si="0"/>
        <v>0</v>
      </c>
      <c r="G6" s="20">
        <f t="shared" si="0"/>
        <v>16674600</v>
      </c>
      <c r="H6" s="19">
        <f t="shared" si="0"/>
        <v>0</v>
      </c>
      <c r="I6" s="19">
        <f t="shared" si="0"/>
        <v>0</v>
      </c>
      <c r="J6" s="20">
        <v>0</v>
      </c>
      <c r="K6" s="21" t="s">
        <v>17</v>
      </c>
      <c r="L6" s="22" t="s">
        <v>18</v>
      </c>
    </row>
    <row r="7" spans="1:12" s="23" customFormat="1" ht="78.75">
      <c r="A7" s="24"/>
      <c r="B7" s="25" t="s">
        <v>19</v>
      </c>
      <c r="C7" s="26">
        <v>5000000</v>
      </c>
      <c r="D7" s="27">
        <v>500000</v>
      </c>
      <c r="E7" s="28">
        <v>4500000</v>
      </c>
      <c r="F7" s="28">
        <v>0</v>
      </c>
      <c r="G7" s="29">
        <f t="shared" ref="G7:G12" si="1">SUM(D7:F7)</f>
        <v>5000000</v>
      </c>
      <c r="H7" s="28">
        <v>0</v>
      </c>
      <c r="I7" s="28">
        <v>0</v>
      </c>
      <c r="J7" s="29">
        <f>SUM(H7:I7)</f>
        <v>0</v>
      </c>
      <c r="K7" s="21" t="s">
        <v>20</v>
      </c>
      <c r="L7" s="25" t="s">
        <v>192</v>
      </c>
    </row>
    <row r="8" spans="1:12" s="23" customFormat="1" ht="58.5" customHeight="1">
      <c r="A8" s="24"/>
      <c r="B8" s="25" t="s">
        <v>21</v>
      </c>
      <c r="C8" s="26">
        <v>74600</v>
      </c>
      <c r="D8" s="30">
        <v>14000</v>
      </c>
      <c r="E8" s="31">
        <v>60600</v>
      </c>
      <c r="F8" s="28">
        <v>0</v>
      </c>
      <c r="G8" s="29">
        <f t="shared" si="1"/>
        <v>74600</v>
      </c>
      <c r="H8" s="28">
        <v>0</v>
      </c>
      <c r="I8" s="28">
        <v>0</v>
      </c>
      <c r="J8" s="29">
        <f>SUM(H8:I8)</f>
        <v>0</v>
      </c>
      <c r="K8" s="21" t="s">
        <v>22</v>
      </c>
      <c r="L8" s="25" t="s">
        <v>23</v>
      </c>
    </row>
    <row r="9" spans="1:12" s="23" customFormat="1" ht="94.5">
      <c r="A9" s="24"/>
      <c r="B9" s="25" t="s">
        <v>24</v>
      </c>
      <c r="C9" s="26">
        <v>2600000</v>
      </c>
      <c r="D9" s="30">
        <v>358000</v>
      </c>
      <c r="E9" s="31">
        <v>2242000</v>
      </c>
      <c r="F9" s="28">
        <v>0</v>
      </c>
      <c r="G9" s="29">
        <f t="shared" si="1"/>
        <v>2600000</v>
      </c>
      <c r="H9" s="28">
        <v>0</v>
      </c>
      <c r="I9" s="28">
        <v>0</v>
      </c>
      <c r="J9" s="29">
        <f>SUM(H9:I9)</f>
        <v>0</v>
      </c>
      <c r="K9" s="21" t="s">
        <v>25</v>
      </c>
      <c r="L9" s="25" t="s">
        <v>26</v>
      </c>
    </row>
    <row r="10" spans="1:12" s="23" customFormat="1" ht="63">
      <c r="A10" s="24"/>
      <c r="B10" s="25" t="s">
        <v>27</v>
      </c>
      <c r="C10" s="26">
        <v>9000000</v>
      </c>
      <c r="D10" s="30">
        <v>0</v>
      </c>
      <c r="E10" s="31">
        <v>9000000</v>
      </c>
      <c r="F10" s="28">
        <v>0</v>
      </c>
      <c r="G10" s="29">
        <f t="shared" si="1"/>
        <v>9000000</v>
      </c>
      <c r="H10" s="28">
        <v>0</v>
      </c>
      <c r="I10" s="28">
        <v>0</v>
      </c>
      <c r="J10" s="29">
        <f>SUM(H10:I10)</f>
        <v>0</v>
      </c>
      <c r="K10" s="21" t="s">
        <v>28</v>
      </c>
      <c r="L10" s="25" t="s">
        <v>29</v>
      </c>
    </row>
    <row r="11" spans="1:12" s="23" customFormat="1" ht="63">
      <c r="A11" s="16">
        <v>2</v>
      </c>
      <c r="B11" s="8" t="s">
        <v>30</v>
      </c>
      <c r="C11" s="26">
        <v>16708300</v>
      </c>
      <c r="D11" s="32">
        <f>SUM(D12:D14)</f>
        <v>923400</v>
      </c>
      <c r="E11" s="33">
        <f>SUM(E12:E14)</f>
        <v>13608900</v>
      </c>
      <c r="F11" s="33">
        <f>SUM(F12:F14)</f>
        <v>2176000</v>
      </c>
      <c r="G11" s="34">
        <f t="shared" si="1"/>
        <v>16708300</v>
      </c>
      <c r="H11" s="33">
        <f>SUM(H12:H14)</f>
        <v>0</v>
      </c>
      <c r="I11" s="33">
        <f>SUM(I12:I14)</f>
        <v>0</v>
      </c>
      <c r="J11" s="29">
        <f t="shared" ref="J11:J23" si="2">SUM(H11:I11)</f>
        <v>0</v>
      </c>
      <c r="K11" s="21" t="s">
        <v>31</v>
      </c>
      <c r="L11" s="22" t="s">
        <v>32</v>
      </c>
    </row>
    <row r="12" spans="1:12" s="23" customFormat="1" ht="117" customHeight="1">
      <c r="A12" s="24"/>
      <c r="B12" s="25" t="s">
        <v>33</v>
      </c>
      <c r="C12" s="26">
        <v>13710000</v>
      </c>
      <c r="D12" s="27">
        <v>57600</v>
      </c>
      <c r="E12" s="28">
        <v>12152400</v>
      </c>
      <c r="F12" s="28">
        <v>1500000</v>
      </c>
      <c r="G12" s="29">
        <f t="shared" si="1"/>
        <v>13710000</v>
      </c>
      <c r="H12" s="28">
        <v>0</v>
      </c>
      <c r="I12" s="28">
        <v>0</v>
      </c>
      <c r="J12" s="29">
        <f t="shared" si="2"/>
        <v>0</v>
      </c>
      <c r="K12" s="21" t="s">
        <v>34</v>
      </c>
      <c r="L12" s="35" t="s">
        <v>35</v>
      </c>
    </row>
    <row r="13" spans="1:12" s="23" customFormat="1" ht="173.25">
      <c r="A13" s="24"/>
      <c r="B13" s="25"/>
      <c r="C13" s="26"/>
      <c r="D13" s="27"/>
      <c r="E13" s="28"/>
      <c r="F13" s="28"/>
      <c r="G13" s="29"/>
      <c r="H13" s="28"/>
      <c r="I13" s="28"/>
      <c r="J13" s="29"/>
      <c r="K13" s="21" t="s">
        <v>36</v>
      </c>
      <c r="L13" s="35"/>
    </row>
    <row r="14" spans="1:12" s="23" customFormat="1" ht="78.75">
      <c r="A14" s="24"/>
      <c r="B14" s="25" t="s">
        <v>37</v>
      </c>
      <c r="C14" s="26">
        <v>2998300</v>
      </c>
      <c r="D14" s="27">
        <f>26400+16800+12600+90000+720000</f>
        <v>865800</v>
      </c>
      <c r="E14" s="28">
        <v>1456500</v>
      </c>
      <c r="F14" s="28">
        <v>676000</v>
      </c>
      <c r="G14" s="29">
        <f t="shared" ref="G14:G23" si="3">SUM(D14:F14)</f>
        <v>2998300</v>
      </c>
      <c r="H14" s="28">
        <v>0</v>
      </c>
      <c r="I14" s="28">
        <v>0</v>
      </c>
      <c r="J14" s="29">
        <f t="shared" si="2"/>
        <v>0</v>
      </c>
      <c r="K14" s="21" t="s">
        <v>38</v>
      </c>
      <c r="L14" s="25" t="s">
        <v>39</v>
      </c>
    </row>
    <row r="15" spans="1:12" s="37" customFormat="1" ht="47.25">
      <c r="A15" s="16">
        <v>3</v>
      </c>
      <c r="B15" s="8" t="s">
        <v>40</v>
      </c>
      <c r="C15" s="26">
        <v>33970000</v>
      </c>
      <c r="D15" s="36">
        <f>SUM(D16:D23)</f>
        <v>40400</v>
      </c>
      <c r="E15" s="4">
        <f>SUM(E16:E23)</f>
        <v>4630500</v>
      </c>
      <c r="F15" s="4">
        <f>SUM(F16:F23)</f>
        <v>319100</v>
      </c>
      <c r="G15" s="34">
        <f t="shared" si="3"/>
        <v>4990000</v>
      </c>
      <c r="H15" s="4">
        <f>SUM(H16:H23)</f>
        <v>310000</v>
      </c>
      <c r="I15" s="4">
        <f>SUM(I16:I23)</f>
        <v>28670000</v>
      </c>
      <c r="J15" s="34">
        <f t="shared" si="2"/>
        <v>28980000</v>
      </c>
      <c r="K15" s="21" t="s">
        <v>41</v>
      </c>
      <c r="L15" s="22" t="s">
        <v>18</v>
      </c>
    </row>
    <row r="16" spans="1:12" s="23" customFormat="1" ht="157.5">
      <c r="A16" s="24"/>
      <c r="B16" s="35" t="s">
        <v>42</v>
      </c>
      <c r="C16" s="26">
        <v>4970000</v>
      </c>
      <c r="D16" s="30">
        <v>0</v>
      </c>
      <c r="E16" s="31">
        <v>0</v>
      </c>
      <c r="F16" s="31">
        <v>0</v>
      </c>
      <c r="G16" s="29">
        <f t="shared" si="3"/>
        <v>0</v>
      </c>
      <c r="H16" s="28">
        <v>0</v>
      </c>
      <c r="I16" s="28">
        <v>4970000</v>
      </c>
      <c r="J16" s="29">
        <f t="shared" si="2"/>
        <v>4970000</v>
      </c>
      <c r="K16" s="21" t="s">
        <v>43</v>
      </c>
      <c r="L16" s="35" t="s">
        <v>44</v>
      </c>
    </row>
    <row r="17" spans="1:12" s="23" customFormat="1" ht="94.5">
      <c r="A17" s="24"/>
      <c r="B17" s="25" t="s">
        <v>45</v>
      </c>
      <c r="C17" s="26">
        <v>12000000</v>
      </c>
      <c r="D17" s="30">
        <v>0</v>
      </c>
      <c r="E17" s="31">
        <v>0</v>
      </c>
      <c r="F17" s="31">
        <v>0</v>
      </c>
      <c r="G17" s="29">
        <f t="shared" si="3"/>
        <v>0</v>
      </c>
      <c r="H17" s="28">
        <v>0</v>
      </c>
      <c r="I17" s="28">
        <v>12000000</v>
      </c>
      <c r="J17" s="29">
        <f t="shared" si="2"/>
        <v>12000000</v>
      </c>
      <c r="K17" s="21" t="s">
        <v>46</v>
      </c>
      <c r="L17" s="35" t="s">
        <v>47</v>
      </c>
    </row>
    <row r="18" spans="1:12" s="23" customFormat="1" ht="189">
      <c r="A18" s="24"/>
      <c r="B18" s="25" t="s">
        <v>48</v>
      </c>
      <c r="C18" s="26">
        <v>3000000</v>
      </c>
      <c r="D18" s="30">
        <v>0</v>
      </c>
      <c r="E18" s="31">
        <v>0</v>
      </c>
      <c r="F18" s="31">
        <v>0</v>
      </c>
      <c r="G18" s="29">
        <f t="shared" si="3"/>
        <v>0</v>
      </c>
      <c r="H18" s="28">
        <v>0</v>
      </c>
      <c r="I18" s="28">
        <v>3000000</v>
      </c>
      <c r="J18" s="29">
        <f t="shared" si="2"/>
        <v>3000000</v>
      </c>
      <c r="K18" s="21" t="s">
        <v>49</v>
      </c>
      <c r="L18" s="35" t="s">
        <v>50</v>
      </c>
    </row>
    <row r="19" spans="1:12" s="23" customFormat="1" ht="94.5">
      <c r="A19" s="24"/>
      <c r="B19" s="25" t="s">
        <v>51</v>
      </c>
      <c r="C19" s="26">
        <v>4500000</v>
      </c>
      <c r="D19" s="27">
        <v>21600</v>
      </c>
      <c r="E19" s="28">
        <f>4412000+40000</f>
        <v>4452000</v>
      </c>
      <c r="F19" s="28">
        <v>26400</v>
      </c>
      <c r="G19" s="29">
        <f t="shared" si="3"/>
        <v>4500000</v>
      </c>
      <c r="H19" s="28">
        <v>0</v>
      </c>
      <c r="I19" s="28"/>
      <c r="J19" s="29">
        <f t="shared" si="2"/>
        <v>0</v>
      </c>
      <c r="K19" s="21" t="s">
        <v>52</v>
      </c>
      <c r="L19" s="35" t="s">
        <v>53</v>
      </c>
    </row>
    <row r="20" spans="1:12" s="23" customFormat="1" ht="63">
      <c r="A20" s="24"/>
      <c r="B20" s="25" t="s">
        <v>54</v>
      </c>
      <c r="C20" s="38">
        <v>4000000</v>
      </c>
      <c r="D20" s="31">
        <v>0</v>
      </c>
      <c r="E20" s="31">
        <v>0</v>
      </c>
      <c r="F20" s="31">
        <v>0</v>
      </c>
      <c r="G20" s="29">
        <f t="shared" si="3"/>
        <v>0</v>
      </c>
      <c r="H20" s="28">
        <v>0</v>
      </c>
      <c r="I20" s="28">
        <v>4000000</v>
      </c>
      <c r="J20" s="29">
        <f t="shared" si="2"/>
        <v>4000000</v>
      </c>
      <c r="K20" s="39" t="s">
        <v>55</v>
      </c>
      <c r="L20" s="35" t="s">
        <v>56</v>
      </c>
    </row>
    <row r="21" spans="1:12" s="23" customFormat="1" ht="47.25">
      <c r="A21" s="24"/>
      <c r="B21" s="25" t="s">
        <v>57</v>
      </c>
      <c r="C21" s="26">
        <v>2000000</v>
      </c>
      <c r="D21" s="30">
        <v>0</v>
      </c>
      <c r="E21" s="31">
        <v>0</v>
      </c>
      <c r="F21" s="31">
        <v>0</v>
      </c>
      <c r="G21" s="29">
        <f t="shared" si="3"/>
        <v>0</v>
      </c>
      <c r="H21" s="28">
        <v>0</v>
      </c>
      <c r="I21" s="28">
        <v>2000000</v>
      </c>
      <c r="J21" s="29">
        <f t="shared" si="2"/>
        <v>2000000</v>
      </c>
      <c r="K21" s="21" t="s">
        <v>58</v>
      </c>
      <c r="L21" s="35" t="s">
        <v>59</v>
      </c>
    </row>
    <row r="22" spans="1:12" s="23" customFormat="1" ht="47.25">
      <c r="A22" s="24"/>
      <c r="B22" s="25" t="s">
        <v>60</v>
      </c>
      <c r="C22" s="26">
        <v>500000</v>
      </c>
      <c r="D22" s="30">
        <v>0</v>
      </c>
      <c r="E22" s="31">
        <v>0</v>
      </c>
      <c r="F22" s="31">
        <v>0</v>
      </c>
      <c r="G22" s="29">
        <f t="shared" si="3"/>
        <v>0</v>
      </c>
      <c r="H22" s="28">
        <v>0</v>
      </c>
      <c r="I22" s="40">
        <v>500000</v>
      </c>
      <c r="J22" s="29">
        <f t="shared" si="2"/>
        <v>500000</v>
      </c>
      <c r="K22" s="21" t="s">
        <v>61</v>
      </c>
      <c r="L22" s="35" t="s">
        <v>62</v>
      </c>
    </row>
    <row r="23" spans="1:12" s="23" customFormat="1" ht="48" thickBot="1">
      <c r="A23" s="24"/>
      <c r="B23" s="25" t="s">
        <v>63</v>
      </c>
      <c r="C23" s="26">
        <v>3000000</v>
      </c>
      <c r="D23" s="41">
        <v>18800</v>
      </c>
      <c r="E23" s="42">
        <f>98500+80000</f>
        <v>178500</v>
      </c>
      <c r="F23" s="42">
        <f>246700+21000+25000</f>
        <v>292700</v>
      </c>
      <c r="G23" s="43">
        <f t="shared" si="3"/>
        <v>490000</v>
      </c>
      <c r="H23" s="42">
        <f>60000+50000+200000</f>
        <v>310000</v>
      </c>
      <c r="I23" s="42">
        <v>2200000</v>
      </c>
      <c r="J23" s="43">
        <f t="shared" si="2"/>
        <v>2510000</v>
      </c>
      <c r="K23" s="21" t="s">
        <v>64</v>
      </c>
      <c r="L23" s="35" t="s">
        <v>65</v>
      </c>
    </row>
    <row r="24" spans="1:12" s="23" customFormat="1" ht="16.5" thickTop="1">
      <c r="A24" s="44"/>
      <c r="B24" s="182" t="s">
        <v>66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4"/>
    </row>
    <row r="25" spans="1:12" s="23" customFormat="1">
      <c r="A25" s="44"/>
      <c r="B25" s="15" t="s">
        <v>67</v>
      </c>
      <c r="C25" s="45">
        <f>C26+C27</f>
        <v>20000000</v>
      </c>
      <c r="D25" s="45">
        <f t="shared" ref="D25:J25" si="4">D26+D27</f>
        <v>0</v>
      </c>
      <c r="E25" s="45">
        <f t="shared" si="4"/>
        <v>5000000</v>
      </c>
      <c r="F25" s="45">
        <f t="shared" si="4"/>
        <v>0</v>
      </c>
      <c r="G25" s="45">
        <f t="shared" si="4"/>
        <v>5000000</v>
      </c>
      <c r="H25" s="45">
        <f t="shared" si="4"/>
        <v>0</v>
      </c>
      <c r="I25" s="45">
        <f t="shared" si="4"/>
        <v>15000000</v>
      </c>
      <c r="J25" s="45">
        <f t="shared" si="4"/>
        <v>15000000</v>
      </c>
      <c r="K25" s="15"/>
      <c r="L25" s="15"/>
    </row>
    <row r="26" spans="1:12" s="9" customFormat="1" ht="204.75">
      <c r="A26" s="46">
        <v>4</v>
      </c>
      <c r="B26" s="47" t="s">
        <v>68</v>
      </c>
      <c r="C26" s="48">
        <v>5000000</v>
      </c>
      <c r="D26" s="49">
        <v>0</v>
      </c>
      <c r="E26" s="50">
        <v>5000000</v>
      </c>
      <c r="F26" s="50">
        <v>0</v>
      </c>
      <c r="G26" s="51">
        <f>SUM(D26:F26)</f>
        <v>5000000</v>
      </c>
      <c r="H26" s="50">
        <v>0</v>
      </c>
      <c r="I26" s="50">
        <v>0</v>
      </c>
      <c r="J26" s="51">
        <f>SUM(H26:I26)</f>
        <v>0</v>
      </c>
      <c r="K26" s="52" t="s">
        <v>69</v>
      </c>
      <c r="L26" s="35" t="s">
        <v>70</v>
      </c>
    </row>
    <row r="27" spans="1:12" s="9" customFormat="1" ht="48" thickBot="1">
      <c r="A27" s="16">
        <v>5</v>
      </c>
      <c r="B27" s="22" t="s">
        <v>71</v>
      </c>
      <c r="C27" s="53">
        <v>15000000</v>
      </c>
      <c r="D27" s="54">
        <v>0</v>
      </c>
      <c r="E27" s="55">
        <v>0</v>
      </c>
      <c r="F27" s="55">
        <v>0</v>
      </c>
      <c r="G27" s="56">
        <v>0</v>
      </c>
      <c r="H27" s="55">
        <v>0</v>
      </c>
      <c r="I27" s="55">
        <v>15000000</v>
      </c>
      <c r="J27" s="57">
        <f>SUM(H27:I27)</f>
        <v>15000000</v>
      </c>
      <c r="K27" s="58" t="s">
        <v>72</v>
      </c>
      <c r="L27" s="8" t="s">
        <v>73</v>
      </c>
    </row>
    <row r="28" spans="1:12" s="9" customFormat="1" ht="17.25" customHeight="1" thickTop="1">
      <c r="A28" s="16"/>
      <c r="B28" s="185" t="s">
        <v>74</v>
      </c>
      <c r="C28" s="186"/>
      <c r="D28" s="186"/>
      <c r="E28" s="186"/>
      <c r="F28" s="186"/>
      <c r="G28" s="186"/>
      <c r="K28" s="58"/>
      <c r="L28" s="15"/>
    </row>
    <row r="29" spans="1:12" s="9" customFormat="1" ht="16.5" thickBot="1">
      <c r="A29" s="16"/>
      <c r="B29" s="59" t="s">
        <v>75</v>
      </c>
      <c r="C29" s="11">
        <f>C30+C38+C43</f>
        <v>48326000</v>
      </c>
      <c r="D29" s="11">
        <f>D30+D38+D43</f>
        <v>540600</v>
      </c>
      <c r="E29" s="12">
        <f>E30+E38+E43</f>
        <v>9706400</v>
      </c>
      <c r="F29" s="12">
        <f>F30+F38+F43</f>
        <v>27169000</v>
      </c>
      <c r="G29" s="43">
        <f>SUM(D29:F29)</f>
        <v>37416000</v>
      </c>
      <c r="H29" s="12">
        <f>H30+H38+H43</f>
        <v>3275000</v>
      </c>
      <c r="I29" s="12">
        <f>I30+I38+I43</f>
        <v>7635000</v>
      </c>
      <c r="J29" s="14">
        <f>SUM(H29:I29)</f>
        <v>10910000</v>
      </c>
      <c r="K29" s="58"/>
      <c r="L29" s="15"/>
    </row>
    <row r="30" spans="1:12" s="9" customFormat="1" ht="48" thickTop="1">
      <c r="A30" s="60">
        <v>7</v>
      </c>
      <c r="B30" s="61" t="s">
        <v>76</v>
      </c>
      <c r="C30" s="48">
        <v>30328000</v>
      </c>
      <c r="D30" s="62">
        <f>SUM(D31:D37)</f>
        <v>509800</v>
      </c>
      <c r="E30" s="62">
        <f t="shared" ref="E30:F30" si="5">SUM(E31:E37)</f>
        <v>8684700</v>
      </c>
      <c r="F30" s="62">
        <f t="shared" si="5"/>
        <v>20173500</v>
      </c>
      <c r="G30" s="20">
        <f t="shared" ref="G30:G45" si="6">SUM(D30:F30)</f>
        <v>29368000</v>
      </c>
      <c r="H30" s="63">
        <f>SUM(H31:H37)</f>
        <v>960000</v>
      </c>
      <c r="I30" s="63">
        <f>SUM(I31:I37)</f>
        <v>0</v>
      </c>
      <c r="J30" s="20">
        <f>SUM(H30:I30)</f>
        <v>960000</v>
      </c>
      <c r="K30" s="58"/>
      <c r="L30" s="8" t="s">
        <v>77</v>
      </c>
    </row>
    <row r="31" spans="1:12" s="9" customFormat="1" ht="141.75">
      <c r="A31" s="44"/>
      <c r="B31" s="35" t="s">
        <v>78</v>
      </c>
      <c r="C31" s="53">
        <v>3737100</v>
      </c>
      <c r="D31" s="27">
        <f>29000+96000</f>
        <v>125000</v>
      </c>
      <c r="E31" s="31">
        <f>10000+20000+2418700+203000</f>
        <v>2651700</v>
      </c>
      <c r="F31" s="31">
        <f>80000+135000+745400</f>
        <v>960400</v>
      </c>
      <c r="G31" s="29">
        <f t="shared" si="6"/>
        <v>3737100</v>
      </c>
      <c r="H31" s="31">
        <v>0</v>
      </c>
      <c r="I31" s="31">
        <v>0</v>
      </c>
      <c r="J31" s="29">
        <f t="shared" ref="J31:J32" si="7">SUM(H31:I31)</f>
        <v>0</v>
      </c>
      <c r="K31" s="58" t="s">
        <v>79</v>
      </c>
      <c r="L31" s="35" t="s">
        <v>80</v>
      </c>
    </row>
    <row r="32" spans="1:12" s="9" customFormat="1" ht="141.75">
      <c r="A32" s="44"/>
      <c r="B32" s="35" t="s">
        <v>81</v>
      </c>
      <c r="C32" s="53">
        <v>5186500</v>
      </c>
      <c r="D32" s="30">
        <v>230400</v>
      </c>
      <c r="E32" s="31">
        <f>984000+711000+922500</f>
        <v>2617500</v>
      </c>
      <c r="F32" s="31">
        <f>1230000+148600</f>
        <v>1378600</v>
      </c>
      <c r="G32" s="29">
        <f t="shared" si="6"/>
        <v>4226500</v>
      </c>
      <c r="H32" s="31">
        <v>960000</v>
      </c>
      <c r="I32" s="31">
        <v>0</v>
      </c>
      <c r="J32" s="29">
        <f t="shared" si="7"/>
        <v>960000</v>
      </c>
      <c r="K32" s="58" t="s">
        <v>82</v>
      </c>
      <c r="L32" s="35" t="s">
        <v>83</v>
      </c>
    </row>
    <row r="33" spans="1:12" s="9" customFormat="1" ht="63">
      <c r="A33" s="44"/>
      <c r="B33" s="35" t="s">
        <v>84</v>
      </c>
      <c r="C33" s="53">
        <v>2050000</v>
      </c>
      <c r="D33" s="30">
        <v>4000</v>
      </c>
      <c r="E33" s="31">
        <f>32000+24000+132000</f>
        <v>188000</v>
      </c>
      <c r="F33" s="31">
        <f>96000+12000+1750000</f>
        <v>1858000</v>
      </c>
      <c r="G33" s="29">
        <f t="shared" si="6"/>
        <v>2050000</v>
      </c>
      <c r="H33" s="31">
        <v>0</v>
      </c>
      <c r="I33" s="31">
        <v>0</v>
      </c>
      <c r="J33" s="29">
        <f t="shared" ref="J33:J42" si="8">SUM(H33:I33)</f>
        <v>0</v>
      </c>
      <c r="K33" s="58" t="s">
        <v>85</v>
      </c>
      <c r="L33" s="35" t="s">
        <v>83</v>
      </c>
    </row>
    <row r="34" spans="1:12" s="9" customFormat="1" ht="126">
      <c r="A34" s="44"/>
      <c r="B34" s="35" t="s">
        <v>86</v>
      </c>
      <c r="C34" s="53">
        <v>9367000</v>
      </c>
      <c r="D34" s="30">
        <v>10800</v>
      </c>
      <c r="E34" s="31">
        <f>49700+1566500</f>
        <v>1616200</v>
      </c>
      <c r="F34" s="31">
        <v>7740000</v>
      </c>
      <c r="G34" s="29">
        <f t="shared" si="6"/>
        <v>9367000</v>
      </c>
      <c r="H34" s="31">
        <v>0</v>
      </c>
      <c r="I34" s="31">
        <v>0</v>
      </c>
      <c r="J34" s="29">
        <f t="shared" si="8"/>
        <v>0</v>
      </c>
      <c r="K34" s="58" t="s">
        <v>87</v>
      </c>
      <c r="L34" s="35" t="s">
        <v>88</v>
      </c>
    </row>
    <row r="35" spans="1:12" s="9" customFormat="1" ht="78.75">
      <c r="A35" s="44"/>
      <c r="B35" s="35" t="s">
        <v>89</v>
      </c>
      <c r="C35" s="53">
        <v>8427400</v>
      </c>
      <c r="D35" s="30">
        <v>57600</v>
      </c>
      <c r="E35" s="31">
        <f>301000+32000+424000</f>
        <v>757000</v>
      </c>
      <c r="F35" s="31">
        <f>4800+7312000+296000</f>
        <v>7612800</v>
      </c>
      <c r="G35" s="29">
        <f t="shared" si="6"/>
        <v>8427400</v>
      </c>
      <c r="H35" s="31">
        <v>0</v>
      </c>
      <c r="I35" s="31">
        <v>0</v>
      </c>
      <c r="J35" s="29">
        <f t="shared" si="8"/>
        <v>0</v>
      </c>
      <c r="K35" s="58" t="s">
        <v>90</v>
      </c>
      <c r="L35" s="35" t="s">
        <v>91</v>
      </c>
    </row>
    <row r="36" spans="1:12" s="9" customFormat="1" ht="110.25">
      <c r="A36" s="60"/>
      <c r="B36" s="35" t="s">
        <v>92</v>
      </c>
      <c r="C36" s="53">
        <v>1000000</v>
      </c>
      <c r="D36" s="30">
        <f>70000+4800</f>
        <v>74800</v>
      </c>
      <c r="E36" s="31">
        <f>13400+10000+770000+13000+35000</f>
        <v>841400</v>
      </c>
      <c r="F36" s="31">
        <f>12000+41800+10000+20000</f>
        <v>83800</v>
      </c>
      <c r="G36" s="29">
        <f t="shared" si="6"/>
        <v>1000000</v>
      </c>
      <c r="H36" s="31"/>
      <c r="I36" s="31"/>
      <c r="J36" s="29">
        <f t="shared" si="8"/>
        <v>0</v>
      </c>
      <c r="K36" s="58" t="s">
        <v>93</v>
      </c>
      <c r="L36" s="35" t="s">
        <v>94</v>
      </c>
    </row>
    <row r="37" spans="1:12" s="9" customFormat="1" ht="78.75">
      <c r="A37" s="60"/>
      <c r="B37" s="25" t="s">
        <v>95</v>
      </c>
      <c r="C37" s="53">
        <v>560000</v>
      </c>
      <c r="D37" s="30">
        <v>7200</v>
      </c>
      <c r="E37" s="31">
        <f>6000+6900</f>
        <v>12900</v>
      </c>
      <c r="F37" s="31">
        <f>3600+536300</f>
        <v>539900</v>
      </c>
      <c r="G37" s="29">
        <f t="shared" si="6"/>
        <v>560000</v>
      </c>
      <c r="H37" s="31">
        <v>0</v>
      </c>
      <c r="I37" s="31">
        <v>0</v>
      </c>
      <c r="J37" s="29">
        <f t="shared" si="8"/>
        <v>0</v>
      </c>
      <c r="K37" s="58" t="s">
        <v>96</v>
      </c>
      <c r="L37" s="35" t="s">
        <v>97</v>
      </c>
    </row>
    <row r="38" spans="1:12" s="9" customFormat="1" ht="47.25">
      <c r="A38" s="44">
        <v>8</v>
      </c>
      <c r="B38" s="8" t="s">
        <v>98</v>
      </c>
      <c r="C38" s="53">
        <v>10758000</v>
      </c>
      <c r="D38" s="32">
        <f>SUM(D39:D42)</f>
        <v>30800</v>
      </c>
      <c r="E38" s="33">
        <f>SUM(E39:E42)</f>
        <v>831700</v>
      </c>
      <c r="F38" s="33">
        <f>SUM(F39:F42)</f>
        <v>6995500</v>
      </c>
      <c r="G38" s="34">
        <f t="shared" si="6"/>
        <v>7858000</v>
      </c>
      <c r="H38" s="33">
        <f>SUM(H39:H42)</f>
        <v>575000</v>
      </c>
      <c r="I38" s="33">
        <f>SUM(I39:I42)</f>
        <v>2325000</v>
      </c>
      <c r="J38" s="34">
        <f t="shared" si="8"/>
        <v>2900000</v>
      </c>
      <c r="K38" s="58"/>
      <c r="L38" s="8" t="s">
        <v>99</v>
      </c>
    </row>
    <row r="39" spans="1:12" s="9" customFormat="1" ht="63">
      <c r="A39" s="44"/>
      <c r="B39" s="35" t="s">
        <v>100</v>
      </c>
      <c r="C39" s="53">
        <v>3760000</v>
      </c>
      <c r="D39" s="30">
        <v>0</v>
      </c>
      <c r="E39" s="31">
        <f>8400+193600</f>
        <v>202000</v>
      </c>
      <c r="F39" s="31">
        <f>141700+3416300</f>
        <v>3558000</v>
      </c>
      <c r="G39" s="29">
        <f t="shared" si="6"/>
        <v>3760000</v>
      </c>
      <c r="H39" s="31">
        <v>0</v>
      </c>
      <c r="I39" s="31">
        <v>0</v>
      </c>
      <c r="J39" s="29">
        <f t="shared" si="8"/>
        <v>0</v>
      </c>
      <c r="K39" s="58" t="s">
        <v>101</v>
      </c>
      <c r="L39" s="35" t="s">
        <v>102</v>
      </c>
    </row>
    <row r="40" spans="1:12" s="9" customFormat="1" ht="330.75">
      <c r="A40" s="44"/>
      <c r="B40" s="35" t="s">
        <v>103</v>
      </c>
      <c r="C40" s="53">
        <v>3622000</v>
      </c>
      <c r="D40" s="30">
        <v>28400</v>
      </c>
      <c r="E40" s="31">
        <f>321630+37500+130970</f>
        <v>490100</v>
      </c>
      <c r="F40" s="31">
        <f>62500+241000</f>
        <v>303500</v>
      </c>
      <c r="G40" s="29">
        <f t="shared" si="6"/>
        <v>822000</v>
      </c>
      <c r="H40" s="31">
        <v>475000</v>
      </c>
      <c r="I40" s="31">
        <f>350000+1975000</f>
        <v>2325000</v>
      </c>
      <c r="J40" s="29">
        <f t="shared" si="8"/>
        <v>2800000</v>
      </c>
      <c r="K40" s="58" t="s">
        <v>104</v>
      </c>
      <c r="L40" s="35" t="s">
        <v>105</v>
      </c>
    </row>
    <row r="41" spans="1:12" s="9" customFormat="1" ht="141.75">
      <c r="A41" s="44"/>
      <c r="B41" s="35" t="s">
        <v>106</v>
      </c>
      <c r="C41" s="53">
        <v>1750000</v>
      </c>
      <c r="D41" s="30">
        <v>2400</v>
      </c>
      <c r="E41" s="31">
        <v>89600</v>
      </c>
      <c r="F41" s="31">
        <v>1558000</v>
      </c>
      <c r="G41" s="29">
        <f t="shared" si="6"/>
        <v>1650000</v>
      </c>
      <c r="H41" s="31">
        <v>100000</v>
      </c>
      <c r="I41" s="31" t="s">
        <v>107</v>
      </c>
      <c r="J41" s="29">
        <f t="shared" si="8"/>
        <v>100000</v>
      </c>
      <c r="K41" s="58" t="s">
        <v>108</v>
      </c>
      <c r="L41" s="35" t="s">
        <v>109</v>
      </c>
    </row>
    <row r="42" spans="1:12" s="9" customFormat="1" ht="94.5">
      <c r="A42" s="60"/>
      <c r="B42" s="35" t="s">
        <v>110</v>
      </c>
      <c r="C42" s="53">
        <v>1626000</v>
      </c>
      <c r="D42" s="30">
        <v>0</v>
      </c>
      <c r="E42" s="31">
        <v>50000</v>
      </c>
      <c r="F42" s="31">
        <f>42000+1525000+9000</f>
        <v>1576000</v>
      </c>
      <c r="G42" s="29">
        <f t="shared" si="6"/>
        <v>1626000</v>
      </c>
      <c r="H42" s="31">
        <v>0</v>
      </c>
      <c r="I42" s="31">
        <v>0</v>
      </c>
      <c r="J42" s="29">
        <f t="shared" si="8"/>
        <v>0</v>
      </c>
      <c r="K42" s="58" t="s">
        <v>111</v>
      </c>
      <c r="L42" s="35" t="s">
        <v>83</v>
      </c>
    </row>
    <row r="43" spans="1:12" s="9" customFormat="1" ht="63">
      <c r="A43" s="60">
        <v>9</v>
      </c>
      <c r="B43" s="8" t="s">
        <v>112</v>
      </c>
      <c r="C43" s="53">
        <v>7240000</v>
      </c>
      <c r="D43" s="32">
        <f>SUM(D44:D45)</f>
        <v>0</v>
      </c>
      <c r="E43" s="33">
        <f>SUM(E44:E45)</f>
        <v>190000</v>
      </c>
      <c r="F43" s="33">
        <f>SUM(F44:F45)</f>
        <v>0</v>
      </c>
      <c r="G43" s="64">
        <f t="shared" si="6"/>
        <v>190000</v>
      </c>
      <c r="H43" s="33">
        <f>SUM(H44:H45)</f>
        <v>1740000</v>
      </c>
      <c r="I43" s="33">
        <f>SUM(I44:I45)</f>
        <v>5310000</v>
      </c>
      <c r="J43" s="64">
        <f t="shared" ref="J43:J45" si="9">SUM(H43:I43)</f>
        <v>7050000</v>
      </c>
      <c r="K43" s="58" t="s">
        <v>113</v>
      </c>
      <c r="L43" s="8" t="s">
        <v>114</v>
      </c>
    </row>
    <row r="44" spans="1:12" s="9" customFormat="1" ht="63">
      <c r="A44" s="60"/>
      <c r="B44" s="35" t="s">
        <v>115</v>
      </c>
      <c r="C44" s="53">
        <v>5240000</v>
      </c>
      <c r="D44" s="32">
        <v>0</v>
      </c>
      <c r="E44" s="31">
        <v>190000</v>
      </c>
      <c r="F44" s="31">
        <v>0</v>
      </c>
      <c r="G44" s="65">
        <f t="shared" si="6"/>
        <v>190000</v>
      </c>
      <c r="H44" s="30">
        <v>1740000</v>
      </c>
      <c r="I44" s="31">
        <v>3310000</v>
      </c>
      <c r="J44" s="65">
        <f t="shared" si="9"/>
        <v>5050000</v>
      </c>
      <c r="K44" s="58" t="s">
        <v>116</v>
      </c>
      <c r="L44" s="35" t="s">
        <v>117</v>
      </c>
    </row>
    <row r="45" spans="1:12" s="9" customFormat="1" ht="47.25">
      <c r="A45" s="60"/>
      <c r="B45" s="35" t="s">
        <v>118</v>
      </c>
      <c r="C45" s="53">
        <v>2000000</v>
      </c>
      <c r="D45" s="32">
        <v>0</v>
      </c>
      <c r="E45" s="33">
        <v>0</v>
      </c>
      <c r="F45" s="33">
        <v>0</v>
      </c>
      <c r="G45" s="65">
        <f t="shared" si="6"/>
        <v>0</v>
      </c>
      <c r="H45" s="32">
        <v>0</v>
      </c>
      <c r="I45" s="31">
        <v>2000000</v>
      </c>
      <c r="J45" s="65">
        <f t="shared" si="9"/>
        <v>2000000</v>
      </c>
      <c r="K45" s="58" t="s">
        <v>119</v>
      </c>
      <c r="L45" s="35" t="s">
        <v>120</v>
      </c>
    </row>
    <row r="46" spans="1:12" s="9" customFormat="1">
      <c r="A46" s="60"/>
      <c r="B46" s="7"/>
      <c r="C46" s="66"/>
      <c r="D46" s="32"/>
      <c r="E46" s="31"/>
      <c r="F46" s="31"/>
      <c r="G46" s="29"/>
      <c r="H46" s="31"/>
      <c r="I46" s="31"/>
      <c r="J46" s="29"/>
      <c r="K46" s="58"/>
      <c r="L46" s="35"/>
    </row>
    <row r="47" spans="1:12" s="9" customFormat="1" ht="20.25" customHeight="1">
      <c r="A47" s="44"/>
      <c r="B47" s="182" t="s">
        <v>121</v>
      </c>
      <c r="C47" s="183"/>
      <c r="D47" s="183"/>
      <c r="E47" s="183"/>
      <c r="F47" s="183"/>
      <c r="G47" s="183"/>
      <c r="H47" s="183"/>
      <c r="I47" s="183"/>
      <c r="J47" s="184"/>
      <c r="K47" s="58"/>
      <c r="L47" s="67"/>
    </row>
    <row r="48" spans="1:12" s="9" customFormat="1" ht="16.5" thickBot="1">
      <c r="A48" s="44"/>
      <c r="B48" s="10" t="s">
        <v>122</v>
      </c>
      <c r="C48" s="68">
        <f>G48+J48</f>
        <v>60928200</v>
      </c>
      <c r="D48" s="69">
        <f>D49+D73</f>
        <v>3159600</v>
      </c>
      <c r="E48" s="69">
        <f t="shared" ref="E48:I48" si="10">E49+E73</f>
        <v>12964400</v>
      </c>
      <c r="F48" s="69">
        <f t="shared" si="10"/>
        <v>8824200</v>
      </c>
      <c r="G48" s="26">
        <f>SUM(D48:F48)</f>
        <v>24948200</v>
      </c>
      <c r="H48" s="69">
        <f t="shared" si="10"/>
        <v>6190000</v>
      </c>
      <c r="I48" s="69">
        <f t="shared" si="10"/>
        <v>29790000</v>
      </c>
      <c r="J48" s="26">
        <f>SUM(H48:I48)</f>
        <v>35980000</v>
      </c>
      <c r="K48" s="58"/>
      <c r="L48" s="67"/>
    </row>
    <row r="49" spans="1:12" s="70" customFormat="1" ht="32.25" thickTop="1">
      <c r="A49" s="16">
        <v>10</v>
      </c>
      <c r="B49" s="8" t="s">
        <v>123</v>
      </c>
      <c r="C49" s="26">
        <v>51328200</v>
      </c>
      <c r="D49" s="26">
        <f>D50+D53+D57+D61+D65+D71</f>
        <v>3159600</v>
      </c>
      <c r="E49" s="26">
        <f t="shared" ref="E49:I49" si="11">E50+E53+E57+E61+E65+E71</f>
        <v>12964400</v>
      </c>
      <c r="F49" s="26">
        <f t="shared" si="11"/>
        <v>8824200</v>
      </c>
      <c r="G49" s="26">
        <f>SUM(D49:F49)</f>
        <v>24948200</v>
      </c>
      <c r="H49" s="26">
        <f t="shared" si="11"/>
        <v>6190000</v>
      </c>
      <c r="I49" s="26">
        <f t="shared" si="11"/>
        <v>20190000</v>
      </c>
      <c r="J49" s="26">
        <f>SUM(H49:I49)</f>
        <v>26380000</v>
      </c>
      <c r="K49" s="58"/>
      <c r="L49" s="38"/>
    </row>
    <row r="50" spans="1:12" s="70" customFormat="1">
      <c r="A50" s="16"/>
      <c r="B50" s="8" t="s">
        <v>124</v>
      </c>
      <c r="C50" s="53">
        <v>20817800</v>
      </c>
      <c r="D50" s="53">
        <f>D51</f>
        <v>0</v>
      </c>
      <c r="E50" s="53">
        <f t="shared" ref="E50:F50" si="12">E51</f>
        <v>0</v>
      </c>
      <c r="F50" s="53">
        <f t="shared" si="12"/>
        <v>0</v>
      </c>
      <c r="G50" s="65">
        <f>SUM(D50:F50)</f>
        <v>0</v>
      </c>
      <c r="H50" s="53">
        <f>H51+H53</f>
        <v>0</v>
      </c>
      <c r="I50" s="53">
        <f>I51</f>
        <v>16000000</v>
      </c>
      <c r="J50" s="53">
        <f>J51+J53</f>
        <v>16800000</v>
      </c>
      <c r="K50" s="58"/>
      <c r="L50" s="8"/>
    </row>
    <row r="51" spans="1:12" s="70" customFormat="1" ht="47.25">
      <c r="A51" s="16"/>
      <c r="B51" s="71" t="s">
        <v>125</v>
      </c>
      <c r="C51" s="53">
        <f>C52</f>
        <v>16000000</v>
      </c>
      <c r="D51" s="53">
        <f t="shared" ref="D51:J51" si="13">D52</f>
        <v>0</v>
      </c>
      <c r="E51" s="53">
        <f t="shared" si="13"/>
        <v>0</v>
      </c>
      <c r="F51" s="53">
        <f t="shared" si="13"/>
        <v>0</v>
      </c>
      <c r="G51" s="65">
        <f t="shared" ref="G51:G74" si="14">SUM(D51:F51)</f>
        <v>0</v>
      </c>
      <c r="H51" s="53">
        <f t="shared" si="13"/>
        <v>0</v>
      </c>
      <c r="I51" s="53">
        <f t="shared" si="13"/>
        <v>16000000</v>
      </c>
      <c r="J51" s="53">
        <f t="shared" si="13"/>
        <v>16000000</v>
      </c>
      <c r="K51" s="58"/>
      <c r="L51" s="8"/>
    </row>
    <row r="52" spans="1:12" s="9" customFormat="1" ht="63">
      <c r="A52" s="16"/>
      <c r="B52" s="72" t="s">
        <v>126</v>
      </c>
      <c r="C52" s="53">
        <v>16000000</v>
      </c>
      <c r="D52" s="32">
        <v>0</v>
      </c>
      <c r="E52" s="33">
        <v>0</v>
      </c>
      <c r="F52" s="33">
        <v>0</v>
      </c>
      <c r="G52" s="65">
        <f t="shared" si="14"/>
        <v>0</v>
      </c>
      <c r="H52" s="33">
        <v>0</v>
      </c>
      <c r="I52" s="31">
        <v>16000000</v>
      </c>
      <c r="J52" s="34">
        <f t="shared" ref="J52" si="15">SUM(H52:I52)</f>
        <v>16000000</v>
      </c>
      <c r="K52" s="58" t="s">
        <v>127</v>
      </c>
      <c r="L52" s="73" t="s">
        <v>128</v>
      </c>
    </row>
    <row r="53" spans="1:12" s="9" customFormat="1" ht="47.25">
      <c r="A53" s="16"/>
      <c r="B53" s="71" t="s">
        <v>129</v>
      </c>
      <c r="C53" s="53">
        <f>SUM(C54:C56)</f>
        <v>4817800</v>
      </c>
      <c r="D53" s="53">
        <f>SUM(D54:D56)</f>
        <v>110000</v>
      </c>
      <c r="E53" s="53">
        <f t="shared" ref="E53:J53" si="16">SUM(E54:E56)</f>
        <v>1440000</v>
      </c>
      <c r="F53" s="53">
        <f t="shared" si="16"/>
        <v>2467800</v>
      </c>
      <c r="G53" s="65">
        <f t="shared" si="14"/>
        <v>4017800</v>
      </c>
      <c r="H53" s="68">
        <f t="shared" si="16"/>
        <v>0</v>
      </c>
      <c r="I53" s="53">
        <f t="shared" si="16"/>
        <v>800000</v>
      </c>
      <c r="J53" s="66">
        <f t="shared" si="16"/>
        <v>800000</v>
      </c>
      <c r="K53" s="58"/>
      <c r="L53" s="73"/>
    </row>
    <row r="54" spans="1:12" s="9" customFormat="1" ht="94.5">
      <c r="A54" s="16"/>
      <c r="B54" s="72" t="s">
        <v>130</v>
      </c>
      <c r="C54" s="53">
        <v>2487800</v>
      </c>
      <c r="D54" s="30">
        <v>50000</v>
      </c>
      <c r="E54" s="31">
        <v>820000</v>
      </c>
      <c r="F54" s="31">
        <v>817800</v>
      </c>
      <c r="G54" s="65">
        <f t="shared" si="14"/>
        <v>1687800</v>
      </c>
      <c r="H54" s="33">
        <v>0</v>
      </c>
      <c r="I54" s="31">
        <v>800000</v>
      </c>
      <c r="J54" s="29">
        <f t="shared" ref="J54:J60" si="17">SUM(H54:I54)</f>
        <v>800000</v>
      </c>
      <c r="K54" s="58" t="s">
        <v>131</v>
      </c>
      <c r="L54" s="72" t="s">
        <v>132</v>
      </c>
    </row>
    <row r="55" spans="1:12" s="9" customFormat="1" ht="63">
      <c r="A55" s="16"/>
      <c r="B55" s="72" t="s">
        <v>133</v>
      </c>
      <c r="C55" s="53">
        <v>500000</v>
      </c>
      <c r="D55" s="30">
        <v>10000</v>
      </c>
      <c r="E55" s="31">
        <v>450000</v>
      </c>
      <c r="F55" s="31">
        <v>40000</v>
      </c>
      <c r="G55" s="65">
        <f t="shared" si="14"/>
        <v>500000</v>
      </c>
      <c r="H55" s="33">
        <v>0</v>
      </c>
      <c r="I55" s="33">
        <v>0</v>
      </c>
      <c r="J55" s="34">
        <f t="shared" si="17"/>
        <v>0</v>
      </c>
      <c r="K55" s="58" t="s">
        <v>134</v>
      </c>
      <c r="L55" s="72" t="s">
        <v>132</v>
      </c>
    </row>
    <row r="56" spans="1:12" s="9" customFormat="1" ht="78.75">
      <c r="A56" s="16"/>
      <c r="B56" s="74" t="s">
        <v>135</v>
      </c>
      <c r="C56" s="53">
        <v>1830000</v>
      </c>
      <c r="D56" s="30">
        <v>50000</v>
      </c>
      <c r="E56" s="31">
        <v>170000</v>
      </c>
      <c r="F56" s="31">
        <v>1610000</v>
      </c>
      <c r="G56" s="65">
        <f t="shared" si="14"/>
        <v>1830000</v>
      </c>
      <c r="H56" s="31"/>
      <c r="I56" s="31"/>
      <c r="J56" s="34">
        <f t="shared" si="17"/>
        <v>0</v>
      </c>
      <c r="K56" s="58" t="s">
        <v>136</v>
      </c>
      <c r="L56" s="72" t="s">
        <v>137</v>
      </c>
    </row>
    <row r="57" spans="1:12" s="9" customFormat="1" ht="47.25">
      <c r="A57" s="16"/>
      <c r="B57" s="71" t="s">
        <v>138</v>
      </c>
      <c r="C57" s="30">
        <f>C58+C59+C60</f>
        <v>13800000</v>
      </c>
      <c r="D57" s="30">
        <f>D58+D59+D60</f>
        <v>1845400</v>
      </c>
      <c r="E57" s="30">
        <f t="shared" ref="E57:I57" si="18">E58+E59+E60</f>
        <v>5033500</v>
      </c>
      <c r="F57" s="30">
        <f>F58+F59+F60</f>
        <v>731100</v>
      </c>
      <c r="G57" s="65">
        <f t="shared" si="14"/>
        <v>7610000</v>
      </c>
      <c r="H57" s="30">
        <f t="shared" si="18"/>
        <v>6190000</v>
      </c>
      <c r="I57" s="30">
        <f t="shared" si="18"/>
        <v>0</v>
      </c>
      <c r="J57" s="34">
        <f t="shared" si="17"/>
        <v>6190000</v>
      </c>
      <c r="K57" s="58"/>
      <c r="L57" s="72"/>
    </row>
    <row r="58" spans="1:12" s="9" customFormat="1" ht="47.25">
      <c r="A58" s="16"/>
      <c r="B58" s="72" t="s">
        <v>139</v>
      </c>
      <c r="C58" s="53">
        <v>8000000</v>
      </c>
      <c r="D58" s="30">
        <v>0</v>
      </c>
      <c r="E58" s="31">
        <f>1800000+1000000</f>
        <v>2800000</v>
      </c>
      <c r="F58" s="31">
        <v>0</v>
      </c>
      <c r="G58" s="65">
        <f t="shared" si="14"/>
        <v>2800000</v>
      </c>
      <c r="H58" s="31">
        <f>4700000+500000</f>
        <v>5200000</v>
      </c>
      <c r="I58" s="31">
        <v>0</v>
      </c>
      <c r="J58" s="34">
        <f t="shared" si="17"/>
        <v>5200000</v>
      </c>
      <c r="K58" s="58" t="s">
        <v>140</v>
      </c>
      <c r="L58" s="72" t="s">
        <v>141</v>
      </c>
    </row>
    <row r="59" spans="1:12" s="9" customFormat="1" ht="157.5">
      <c r="A59" s="16"/>
      <c r="B59" s="72" t="s">
        <v>142</v>
      </c>
      <c r="C59" s="53">
        <v>4800000</v>
      </c>
      <c r="D59" s="30">
        <f>288000+250000+200000+21600+640000+7800+134000+19200+250000+18000+16800</f>
        <v>1845400</v>
      </c>
      <c r="E59" s="31">
        <f>270000+400000+139000+802500+229000+123000+180000+90000</f>
        <v>2233500</v>
      </c>
      <c r="F59" s="31">
        <f>96000+250000+8400+240000+3200+76000+35300+9000+3200</f>
        <v>721100</v>
      </c>
      <c r="G59" s="65">
        <f t="shared" si="14"/>
        <v>4800000</v>
      </c>
      <c r="H59" s="31">
        <v>0</v>
      </c>
      <c r="I59" s="31">
        <v>0</v>
      </c>
      <c r="J59" s="34">
        <f t="shared" si="17"/>
        <v>0</v>
      </c>
      <c r="K59" s="58" t="s">
        <v>143</v>
      </c>
      <c r="L59" s="72" t="s">
        <v>144</v>
      </c>
    </row>
    <row r="60" spans="1:12" s="9" customFormat="1" ht="47.25">
      <c r="A60" s="75"/>
      <c r="B60" s="72" t="s">
        <v>145</v>
      </c>
      <c r="C60" s="53">
        <v>1000000</v>
      </c>
      <c r="D60" s="30">
        <v>0</v>
      </c>
      <c r="E60" s="31">
        <v>0</v>
      </c>
      <c r="F60" s="31">
        <v>10000</v>
      </c>
      <c r="G60" s="65">
        <f t="shared" si="14"/>
        <v>10000</v>
      </c>
      <c r="H60" s="31">
        <v>990000</v>
      </c>
      <c r="I60" s="33">
        <v>0</v>
      </c>
      <c r="J60" s="34">
        <f t="shared" si="17"/>
        <v>990000</v>
      </c>
      <c r="K60" s="58" t="s">
        <v>146</v>
      </c>
      <c r="L60" s="72" t="s">
        <v>147</v>
      </c>
    </row>
    <row r="61" spans="1:12" s="9" customFormat="1" ht="31.5">
      <c r="A61" s="75"/>
      <c r="B61" s="71" t="s">
        <v>148</v>
      </c>
      <c r="C61" s="53">
        <f>C62+C63+C64</f>
        <v>6288000</v>
      </c>
      <c r="D61" s="53">
        <f t="shared" ref="D61:J61" si="19">D62+D63+D64</f>
        <v>429600</v>
      </c>
      <c r="E61" s="53">
        <f t="shared" si="19"/>
        <v>1844400</v>
      </c>
      <c r="F61" s="53">
        <f t="shared" si="19"/>
        <v>624000</v>
      </c>
      <c r="G61" s="65">
        <f t="shared" si="14"/>
        <v>2898000</v>
      </c>
      <c r="H61" s="53">
        <f t="shared" si="19"/>
        <v>0</v>
      </c>
      <c r="I61" s="53">
        <f t="shared" si="19"/>
        <v>3390000</v>
      </c>
      <c r="J61" s="53">
        <f t="shared" si="19"/>
        <v>3390000</v>
      </c>
      <c r="K61" s="58" t="s">
        <v>107</v>
      </c>
      <c r="L61" s="72"/>
    </row>
    <row r="62" spans="1:12" s="9" customFormat="1" ht="126">
      <c r="A62" s="75"/>
      <c r="B62" s="76" t="s">
        <v>149</v>
      </c>
      <c r="C62" s="77">
        <v>1400000</v>
      </c>
      <c r="D62" s="31">
        <v>144000</v>
      </c>
      <c r="E62" s="31">
        <f>66000+80000+176000+615000+164000</f>
        <v>1101000</v>
      </c>
      <c r="F62" s="31">
        <f>22000+82000+10000+41000</f>
        <v>155000</v>
      </c>
      <c r="G62" s="65">
        <f t="shared" si="14"/>
        <v>1400000</v>
      </c>
      <c r="H62" s="31">
        <v>0</v>
      </c>
      <c r="I62" s="31">
        <v>0</v>
      </c>
      <c r="J62" s="34">
        <f t="shared" ref="J62:J65" si="20">SUM(H62:I62)</f>
        <v>0</v>
      </c>
      <c r="K62" s="78" t="s">
        <v>150</v>
      </c>
      <c r="L62" s="72" t="s">
        <v>151</v>
      </c>
    </row>
    <row r="63" spans="1:12" s="9" customFormat="1" ht="94.5">
      <c r="A63" s="75"/>
      <c r="B63" s="74" t="s">
        <v>152</v>
      </c>
      <c r="C63" s="66">
        <v>2861000</v>
      </c>
      <c r="D63" s="31">
        <v>21600</v>
      </c>
      <c r="E63" s="31">
        <f>78000+58500+100000+9900+12000</f>
        <v>258400</v>
      </c>
      <c r="F63" s="31">
        <f>65000+13000+13000</f>
        <v>91000</v>
      </c>
      <c r="G63" s="65">
        <f t="shared" si="14"/>
        <v>371000</v>
      </c>
      <c r="H63" s="31">
        <v>0</v>
      </c>
      <c r="I63" s="31">
        <v>2490000</v>
      </c>
      <c r="J63" s="34">
        <f t="shared" si="20"/>
        <v>2490000</v>
      </c>
      <c r="K63" s="58" t="s">
        <v>153</v>
      </c>
      <c r="L63" s="72" t="s">
        <v>154</v>
      </c>
    </row>
    <row r="64" spans="1:12" s="70" customFormat="1" ht="110.25">
      <c r="A64" s="75"/>
      <c r="B64" s="79" t="s">
        <v>155</v>
      </c>
      <c r="C64" s="66">
        <v>2027000</v>
      </c>
      <c r="D64" s="31">
        <f>180000+84000</f>
        <v>264000</v>
      </c>
      <c r="E64" s="31">
        <f>37500+27500+300000+35000+24000+39000+22000</f>
        <v>485000</v>
      </c>
      <c r="F64" s="31">
        <f>263000+30000+48000+2000+35000</f>
        <v>378000</v>
      </c>
      <c r="G64" s="65">
        <f t="shared" si="14"/>
        <v>1127000</v>
      </c>
      <c r="H64" s="31">
        <v>0</v>
      </c>
      <c r="I64" s="31">
        <f>600000+300000</f>
        <v>900000</v>
      </c>
      <c r="J64" s="34">
        <f t="shared" si="20"/>
        <v>900000</v>
      </c>
      <c r="K64" s="58" t="s">
        <v>156</v>
      </c>
      <c r="L64" s="72" t="s">
        <v>157</v>
      </c>
    </row>
    <row r="65" spans="1:12" s="70" customFormat="1" ht="78.75">
      <c r="A65" s="75"/>
      <c r="B65" s="80" t="s">
        <v>158</v>
      </c>
      <c r="C65" s="53">
        <f>C66+C67+C68+C69+C70</f>
        <v>5297100</v>
      </c>
      <c r="D65" s="53">
        <f t="shared" ref="D65:I65" si="21">D66+D67+D68+D69+D70</f>
        <v>774600</v>
      </c>
      <c r="E65" s="53">
        <f t="shared" si="21"/>
        <v>3729800</v>
      </c>
      <c r="F65" s="53">
        <f t="shared" si="21"/>
        <v>792700</v>
      </c>
      <c r="G65" s="65">
        <f t="shared" si="14"/>
        <v>5297100</v>
      </c>
      <c r="H65" s="53">
        <f t="shared" si="21"/>
        <v>0</v>
      </c>
      <c r="I65" s="53">
        <f t="shared" si="21"/>
        <v>0</v>
      </c>
      <c r="J65" s="34">
        <f t="shared" si="20"/>
        <v>0</v>
      </c>
      <c r="K65" s="58"/>
      <c r="L65" s="72"/>
    </row>
    <row r="66" spans="1:12" s="70" customFormat="1" ht="94.5">
      <c r="A66" s="75"/>
      <c r="B66" s="79" t="s">
        <v>159</v>
      </c>
      <c r="C66" s="53">
        <v>3160000</v>
      </c>
      <c r="D66" s="30">
        <f>70000+90000</f>
        <v>160000</v>
      </c>
      <c r="E66" s="31">
        <f>2315200+200000</f>
        <v>2515200</v>
      </c>
      <c r="F66" s="31">
        <f>120000+200000+150000+14800</f>
        <v>484800</v>
      </c>
      <c r="G66" s="65">
        <f t="shared" si="14"/>
        <v>3160000</v>
      </c>
      <c r="H66" s="31">
        <v>0</v>
      </c>
      <c r="I66" s="31">
        <v>0</v>
      </c>
      <c r="J66" s="34">
        <f t="shared" ref="J66:J70" si="22">SUM(H66:I66)</f>
        <v>0</v>
      </c>
      <c r="K66" s="58" t="s">
        <v>160</v>
      </c>
      <c r="L66" s="72" t="s">
        <v>161</v>
      </c>
    </row>
    <row r="67" spans="1:12" s="9" customFormat="1" ht="47.25">
      <c r="A67" s="75"/>
      <c r="B67" s="79" t="s">
        <v>162</v>
      </c>
      <c r="C67" s="53">
        <v>740000</v>
      </c>
      <c r="D67" s="30">
        <f>86400+160000+80400</f>
        <v>326800</v>
      </c>
      <c r="E67" s="31">
        <f>300200+48000</f>
        <v>348200</v>
      </c>
      <c r="F67" s="31">
        <f>15000+60000+40000-50000</f>
        <v>65000</v>
      </c>
      <c r="G67" s="65">
        <f t="shared" si="14"/>
        <v>740000</v>
      </c>
      <c r="H67" s="31"/>
      <c r="I67" s="31">
        <v>0</v>
      </c>
      <c r="J67" s="34">
        <f t="shared" si="22"/>
        <v>0</v>
      </c>
      <c r="K67" s="58" t="s">
        <v>163</v>
      </c>
      <c r="L67" s="72" t="s">
        <v>164</v>
      </c>
    </row>
    <row r="68" spans="1:12" s="9" customFormat="1" ht="47.25">
      <c r="A68" s="75"/>
      <c r="B68" s="79" t="s">
        <v>165</v>
      </c>
      <c r="C68" s="53">
        <v>500000</v>
      </c>
      <c r="D68" s="30">
        <v>86400</v>
      </c>
      <c r="E68" s="31">
        <v>351000</v>
      </c>
      <c r="F68" s="31">
        <v>62600</v>
      </c>
      <c r="G68" s="65">
        <f t="shared" si="14"/>
        <v>500000</v>
      </c>
      <c r="H68" s="31">
        <v>0</v>
      </c>
      <c r="I68" s="31">
        <v>0</v>
      </c>
      <c r="J68" s="34">
        <f t="shared" si="22"/>
        <v>0</v>
      </c>
      <c r="K68" s="58" t="s">
        <v>166</v>
      </c>
      <c r="L68" s="72" t="s">
        <v>167</v>
      </c>
    </row>
    <row r="69" spans="1:12" s="9" customFormat="1" ht="78.75">
      <c r="A69" s="75"/>
      <c r="B69" s="79" t="s">
        <v>168</v>
      </c>
      <c r="C69" s="53">
        <v>600000</v>
      </c>
      <c r="D69" s="30">
        <f>124600+21600</f>
        <v>146200</v>
      </c>
      <c r="E69" s="31">
        <f>305500+30000+50000+16000</f>
        <v>401500</v>
      </c>
      <c r="F69" s="31">
        <f>12300+20000+20000</f>
        <v>52300</v>
      </c>
      <c r="G69" s="65">
        <f t="shared" si="14"/>
        <v>600000</v>
      </c>
      <c r="H69" s="31">
        <v>0</v>
      </c>
      <c r="I69" s="31">
        <v>0</v>
      </c>
      <c r="J69" s="34">
        <f t="shared" si="22"/>
        <v>0</v>
      </c>
      <c r="K69" s="58" t="s">
        <v>169</v>
      </c>
      <c r="L69" s="72" t="s">
        <v>170</v>
      </c>
    </row>
    <row r="70" spans="1:12" s="9" customFormat="1" ht="31.5">
      <c r="A70" s="75"/>
      <c r="B70" s="79" t="s">
        <v>171</v>
      </c>
      <c r="C70" s="53">
        <v>297100</v>
      </c>
      <c r="D70" s="30">
        <v>55200</v>
      </c>
      <c r="E70" s="31">
        <v>113900</v>
      </c>
      <c r="F70" s="31">
        <f>14400+42000+21600+50000</f>
        <v>128000</v>
      </c>
      <c r="G70" s="65">
        <f t="shared" si="14"/>
        <v>297100</v>
      </c>
      <c r="H70" s="31"/>
      <c r="I70" s="31"/>
      <c r="J70" s="34">
        <f t="shared" si="22"/>
        <v>0</v>
      </c>
      <c r="K70" s="58" t="s">
        <v>172</v>
      </c>
      <c r="L70" s="72" t="s">
        <v>97</v>
      </c>
    </row>
    <row r="71" spans="1:12" s="70" customFormat="1" ht="47.25">
      <c r="A71" s="75"/>
      <c r="B71" s="80" t="s">
        <v>173</v>
      </c>
      <c r="C71" s="53">
        <v>5125300</v>
      </c>
      <c r="D71" s="53">
        <f>D72</f>
        <v>0</v>
      </c>
      <c r="E71" s="53">
        <f t="shared" ref="E71:F71" si="23">E72</f>
        <v>916700</v>
      </c>
      <c r="F71" s="53">
        <f t="shared" si="23"/>
        <v>4208600</v>
      </c>
      <c r="G71" s="65">
        <f t="shared" si="14"/>
        <v>5125300</v>
      </c>
      <c r="H71" s="53">
        <f>H72</f>
        <v>0</v>
      </c>
      <c r="I71" s="53">
        <f>I72</f>
        <v>0</v>
      </c>
      <c r="J71" s="53">
        <f>J72</f>
        <v>0</v>
      </c>
      <c r="K71" s="58"/>
      <c r="L71" s="71"/>
    </row>
    <row r="72" spans="1:12" s="70" customFormat="1" ht="47.25">
      <c r="A72" s="75"/>
      <c r="B72" s="79" t="s">
        <v>174</v>
      </c>
      <c r="C72" s="53">
        <v>5125300</v>
      </c>
      <c r="D72" s="32">
        <v>0</v>
      </c>
      <c r="E72" s="31">
        <v>916700</v>
      </c>
      <c r="F72" s="31">
        <v>4208600</v>
      </c>
      <c r="G72" s="65">
        <f>SUM(D72:F72)</f>
        <v>5125300</v>
      </c>
      <c r="H72" s="53">
        <v>0</v>
      </c>
      <c r="I72" s="53">
        <v>0</v>
      </c>
      <c r="J72" s="53">
        <v>0</v>
      </c>
      <c r="K72" s="58" t="s">
        <v>175</v>
      </c>
      <c r="L72" s="72" t="s">
        <v>53</v>
      </c>
    </row>
    <row r="73" spans="1:12" s="9" customFormat="1" ht="47.25">
      <c r="A73" s="75">
        <v>11</v>
      </c>
      <c r="B73" s="81" t="s">
        <v>176</v>
      </c>
      <c r="C73" s="53">
        <v>9600000</v>
      </c>
      <c r="D73" s="82">
        <v>0</v>
      </c>
      <c r="E73" s="83">
        <v>0</v>
      </c>
      <c r="F73" s="83">
        <v>0</v>
      </c>
      <c r="G73" s="65">
        <f t="shared" si="14"/>
        <v>0</v>
      </c>
      <c r="H73" s="83">
        <v>0</v>
      </c>
      <c r="I73" s="84">
        <v>9600000</v>
      </c>
      <c r="J73" s="34">
        <f t="shared" ref="J73" si="24">SUM(H73:I73)</f>
        <v>9600000</v>
      </c>
      <c r="K73" s="58" t="s">
        <v>177</v>
      </c>
      <c r="L73" s="81" t="s">
        <v>128</v>
      </c>
    </row>
    <row r="74" spans="1:12" s="70" customFormat="1" ht="31.5">
      <c r="A74" s="75">
        <v>12</v>
      </c>
      <c r="B74" s="22" t="s">
        <v>178</v>
      </c>
      <c r="C74" s="53">
        <v>10000000</v>
      </c>
      <c r="D74" s="53" t="s">
        <v>179</v>
      </c>
      <c r="E74" s="53"/>
      <c r="F74" s="53"/>
      <c r="G74" s="65">
        <f t="shared" si="14"/>
        <v>0</v>
      </c>
      <c r="H74" s="68"/>
      <c r="I74" s="53"/>
      <c r="J74" s="66"/>
      <c r="K74" s="58" t="s">
        <v>180</v>
      </c>
      <c r="L74" s="22" t="s">
        <v>181</v>
      </c>
    </row>
    <row r="75" spans="1:12" s="70" customFormat="1" ht="31.5">
      <c r="A75" s="75"/>
      <c r="B75" s="22" t="s">
        <v>182</v>
      </c>
      <c r="C75" s="53">
        <v>206607100</v>
      </c>
      <c r="D75" s="53">
        <f>D5+D25+D29+D48</f>
        <v>5536000</v>
      </c>
      <c r="E75" s="53">
        <f t="shared" ref="E75:I75" si="25">E5+E25+E29+E48</f>
        <v>61712800</v>
      </c>
      <c r="F75" s="53">
        <f t="shared" si="25"/>
        <v>38488300</v>
      </c>
      <c r="G75" s="68">
        <f>SUM(D75:F75)</f>
        <v>105737100</v>
      </c>
      <c r="H75" s="53">
        <f t="shared" si="25"/>
        <v>9775000</v>
      </c>
      <c r="I75" s="53">
        <f t="shared" si="25"/>
        <v>81095000</v>
      </c>
      <c r="J75" s="66">
        <f>SUM(H75:I75)</f>
        <v>90870000</v>
      </c>
      <c r="K75" s="58"/>
      <c r="L75" s="68" t="s">
        <v>107</v>
      </c>
    </row>
    <row r="76" spans="1:12" s="9" customFormat="1">
      <c r="A76" s="85"/>
      <c r="B76" s="86"/>
      <c r="C76" s="87"/>
      <c r="D76" s="87"/>
      <c r="E76" s="87"/>
      <c r="F76" s="87"/>
      <c r="G76" s="87"/>
      <c r="H76" s="87"/>
      <c r="I76" s="87"/>
      <c r="J76" s="87"/>
      <c r="K76" s="88" t="s">
        <v>107</v>
      </c>
      <c r="L76" s="86"/>
    </row>
    <row r="77" spans="1:12" s="9" customFormat="1">
      <c r="A77" s="89"/>
      <c r="C77" s="77"/>
      <c r="D77" s="77"/>
      <c r="E77" s="77"/>
      <c r="F77" s="77"/>
      <c r="G77" s="77"/>
      <c r="H77" s="77"/>
      <c r="I77" s="77"/>
      <c r="J77" s="77"/>
      <c r="K77" s="90"/>
    </row>
  </sheetData>
  <mergeCells count="10">
    <mergeCell ref="B4:J4"/>
    <mergeCell ref="B24:L24"/>
    <mergeCell ref="B28:G28"/>
    <mergeCell ref="B47:J47"/>
    <mergeCell ref="A1:L1"/>
    <mergeCell ref="A2:A3"/>
    <mergeCell ref="B2:B3"/>
    <mergeCell ref="C2:C3"/>
    <mergeCell ref="D2:G2"/>
    <mergeCell ref="H2:J2"/>
  </mergeCells>
  <pageMargins left="0.15748031496062992" right="0.15748031496062992" top="0.16" bottom="0.16" header="0.51181102362204722" footer="0.23622047244094491"/>
  <pageSetup paperSize="9" scale="93" orientation="landscape" r:id="rId1"/>
  <headerFooter alignWithMargins="0"/>
  <rowBreaks count="4" manualBreakCount="4">
    <brk id="23" max="11" man="1"/>
    <brk id="46" max="4" man="1"/>
    <brk id="64" max="4" man="1"/>
    <brk id="7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0"/>
  </sheetPr>
  <dimension ref="A1:L77"/>
  <sheetViews>
    <sheetView view="pageBreakPreview" zoomScaleSheetLayoutView="100" workbookViewId="0">
      <pane xSplit="1" ySplit="3" topLeftCell="B4" activePane="bottomRight" state="frozen"/>
      <selection activeCell="B72" sqref="B72"/>
      <selection pane="topRight" activeCell="B72" sqref="B72"/>
      <selection pane="bottomLeft" activeCell="B72" sqref="B72"/>
      <selection pane="bottomRight" activeCell="B72" sqref="B72"/>
    </sheetView>
  </sheetViews>
  <sheetFormatPr defaultRowHeight="15.75"/>
  <cols>
    <col min="1" max="1" width="3.140625" style="91" customWidth="1"/>
    <col min="2" max="2" width="22.28515625" style="1" customWidth="1"/>
    <col min="3" max="3" width="13" style="77" customWidth="1"/>
    <col min="4" max="4" width="10.42578125" style="77" customWidth="1"/>
    <col min="5" max="5" width="11.7109375" style="77" customWidth="1"/>
    <col min="6" max="6" width="11.42578125" style="77" customWidth="1"/>
    <col min="7" max="7" width="11.7109375" style="77" customWidth="1"/>
    <col min="8" max="8" width="12.140625" style="92" customWidth="1"/>
    <col min="9" max="9" width="11.140625" style="77" customWidth="1"/>
    <col min="10" max="10" width="11.42578125" style="77" customWidth="1"/>
    <col min="11" max="11" width="27.28515625" style="93" customWidth="1"/>
    <col min="12" max="12" width="12.28515625" style="94" customWidth="1"/>
    <col min="13" max="16384" width="9.140625" style="1"/>
  </cols>
  <sheetData>
    <row r="1" spans="1:1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31.5" customHeight="1">
      <c r="A2" s="188" t="s">
        <v>1</v>
      </c>
      <c r="B2" s="190" t="s">
        <v>2</v>
      </c>
      <c r="C2" s="192" t="s">
        <v>183</v>
      </c>
      <c r="D2" s="194" t="s">
        <v>3</v>
      </c>
      <c r="E2" s="195"/>
      <c r="F2" s="195"/>
      <c r="G2" s="196"/>
      <c r="H2" s="194" t="s">
        <v>4</v>
      </c>
      <c r="I2" s="195"/>
      <c r="J2" s="196"/>
      <c r="K2" s="2" t="s">
        <v>5</v>
      </c>
      <c r="L2" s="3" t="s">
        <v>6</v>
      </c>
    </row>
    <row r="3" spans="1:12">
      <c r="A3" s="189"/>
      <c r="B3" s="191"/>
      <c r="C3" s="193"/>
      <c r="D3" s="4" t="s">
        <v>7</v>
      </c>
      <c r="E3" s="4" t="s">
        <v>8</v>
      </c>
      <c r="F3" s="4" t="s">
        <v>9</v>
      </c>
      <c r="G3" s="5" t="s">
        <v>10</v>
      </c>
      <c r="H3" s="4" t="s">
        <v>11</v>
      </c>
      <c r="I3" s="4" t="s">
        <v>12</v>
      </c>
      <c r="J3" s="5" t="s">
        <v>13</v>
      </c>
      <c r="K3" s="2"/>
      <c r="L3" s="3"/>
    </row>
    <row r="4" spans="1:12" s="9" customFormat="1" ht="18.75" customHeight="1">
      <c r="A4" s="6"/>
      <c r="B4" s="182" t="s">
        <v>14</v>
      </c>
      <c r="C4" s="183"/>
      <c r="D4" s="183"/>
      <c r="E4" s="183"/>
      <c r="F4" s="183"/>
      <c r="G4" s="183"/>
      <c r="H4" s="183"/>
      <c r="I4" s="183"/>
      <c r="J4" s="183"/>
      <c r="K4" s="7"/>
      <c r="L4" s="8"/>
    </row>
    <row r="5" spans="1:12" s="9" customFormat="1" ht="16.5" thickBot="1">
      <c r="A5" s="6"/>
      <c r="B5" s="10" t="s">
        <v>15</v>
      </c>
      <c r="C5" s="4">
        <f>C6+C11+C15</f>
        <v>67352900</v>
      </c>
      <c r="D5" s="11">
        <f>D6+D11+D15</f>
        <v>1835800</v>
      </c>
      <c r="E5" s="12">
        <f>E6+E11+E15</f>
        <v>34042000</v>
      </c>
      <c r="F5" s="12">
        <f>F6+F11+F15</f>
        <v>2495100</v>
      </c>
      <c r="G5" s="13">
        <f>SUM(D5:F5)</f>
        <v>38372900</v>
      </c>
      <c r="H5" s="12">
        <f>H6+H11+H15</f>
        <v>310000</v>
      </c>
      <c r="I5" s="12">
        <f>I6+I11+I15</f>
        <v>28670000</v>
      </c>
      <c r="J5" s="14">
        <f>SUM(H5:I5)</f>
        <v>28980000</v>
      </c>
      <c r="K5" s="10"/>
      <c r="L5" s="15"/>
    </row>
    <row r="6" spans="1:12" s="23" customFormat="1" ht="48" thickTop="1">
      <c r="A6" s="16">
        <v>1</v>
      </c>
      <c r="B6" s="8" t="s">
        <v>16</v>
      </c>
      <c r="C6" s="17">
        <v>16674600</v>
      </c>
      <c r="D6" s="18">
        <f t="shared" ref="D6:I6" si="0">SUM(D7:D10)</f>
        <v>872000</v>
      </c>
      <c r="E6" s="19">
        <f t="shared" si="0"/>
        <v>15802600</v>
      </c>
      <c r="F6" s="19">
        <f t="shared" si="0"/>
        <v>0</v>
      </c>
      <c r="G6" s="20">
        <f t="shared" si="0"/>
        <v>16674600</v>
      </c>
      <c r="H6" s="19">
        <f t="shared" si="0"/>
        <v>0</v>
      </c>
      <c r="I6" s="19">
        <f t="shared" si="0"/>
        <v>0</v>
      </c>
      <c r="J6" s="20">
        <v>0</v>
      </c>
      <c r="K6" s="21" t="s">
        <v>17</v>
      </c>
      <c r="L6" s="22" t="s">
        <v>18</v>
      </c>
    </row>
    <row r="7" spans="1:12" s="23" customFormat="1" ht="78.75">
      <c r="A7" s="24"/>
      <c r="B7" s="25" t="s">
        <v>19</v>
      </c>
      <c r="C7" s="26">
        <v>5000000</v>
      </c>
      <c r="D7" s="27">
        <v>500000</v>
      </c>
      <c r="E7" s="28">
        <v>4500000</v>
      </c>
      <c r="F7" s="28">
        <v>0</v>
      </c>
      <c r="G7" s="29">
        <f t="shared" ref="G7:G12" si="1">SUM(D7:F7)</f>
        <v>5000000</v>
      </c>
      <c r="H7" s="28">
        <v>0</v>
      </c>
      <c r="I7" s="28">
        <v>0</v>
      </c>
      <c r="J7" s="29">
        <f>SUM(H7:I7)</f>
        <v>0</v>
      </c>
      <c r="K7" s="21" t="s">
        <v>20</v>
      </c>
      <c r="L7" s="25" t="s">
        <v>192</v>
      </c>
    </row>
    <row r="8" spans="1:12" s="23" customFormat="1" ht="58.5" customHeight="1">
      <c r="A8" s="24"/>
      <c r="B8" s="25" t="s">
        <v>21</v>
      </c>
      <c r="C8" s="26">
        <v>74600</v>
      </c>
      <c r="D8" s="30">
        <v>14000</v>
      </c>
      <c r="E8" s="31">
        <v>60600</v>
      </c>
      <c r="F8" s="28">
        <v>0</v>
      </c>
      <c r="G8" s="29">
        <f t="shared" si="1"/>
        <v>74600</v>
      </c>
      <c r="H8" s="28">
        <v>0</v>
      </c>
      <c r="I8" s="28">
        <v>0</v>
      </c>
      <c r="J8" s="29">
        <f>SUM(H8:I8)</f>
        <v>0</v>
      </c>
      <c r="K8" s="21" t="s">
        <v>22</v>
      </c>
      <c r="L8" s="25" t="s">
        <v>23</v>
      </c>
    </row>
    <row r="9" spans="1:12" s="23" customFormat="1" ht="94.5">
      <c r="A9" s="24"/>
      <c r="B9" s="25" t="s">
        <v>24</v>
      </c>
      <c r="C9" s="26">
        <v>2600000</v>
      </c>
      <c r="D9" s="30">
        <v>358000</v>
      </c>
      <c r="E9" s="31">
        <v>2242000</v>
      </c>
      <c r="F9" s="28">
        <v>0</v>
      </c>
      <c r="G9" s="29">
        <f t="shared" si="1"/>
        <v>2600000</v>
      </c>
      <c r="H9" s="28">
        <v>0</v>
      </c>
      <c r="I9" s="28">
        <v>0</v>
      </c>
      <c r="J9" s="29">
        <f>SUM(H9:I9)</f>
        <v>0</v>
      </c>
      <c r="K9" s="21" t="s">
        <v>25</v>
      </c>
      <c r="L9" s="25" t="s">
        <v>26</v>
      </c>
    </row>
    <row r="10" spans="1:12" s="23" customFormat="1" ht="63">
      <c r="A10" s="24"/>
      <c r="B10" s="25" t="s">
        <v>27</v>
      </c>
      <c r="C10" s="26">
        <v>9000000</v>
      </c>
      <c r="D10" s="30">
        <v>0</v>
      </c>
      <c r="E10" s="31">
        <v>9000000</v>
      </c>
      <c r="F10" s="28">
        <v>0</v>
      </c>
      <c r="G10" s="29">
        <f t="shared" si="1"/>
        <v>9000000</v>
      </c>
      <c r="H10" s="28">
        <v>0</v>
      </c>
      <c r="I10" s="28">
        <v>0</v>
      </c>
      <c r="J10" s="29">
        <f>SUM(H10:I10)</f>
        <v>0</v>
      </c>
      <c r="K10" s="21" t="s">
        <v>28</v>
      </c>
      <c r="L10" s="25" t="s">
        <v>29</v>
      </c>
    </row>
    <row r="11" spans="1:12" s="23" customFormat="1" ht="63">
      <c r="A11" s="16">
        <v>2</v>
      </c>
      <c r="B11" s="8" t="s">
        <v>30</v>
      </c>
      <c r="C11" s="26">
        <v>16708300</v>
      </c>
      <c r="D11" s="32">
        <f>SUM(D12:D14)</f>
        <v>923400</v>
      </c>
      <c r="E11" s="33">
        <f>SUM(E12:E14)</f>
        <v>13608900</v>
      </c>
      <c r="F11" s="33">
        <f>SUM(F12:F14)</f>
        <v>2176000</v>
      </c>
      <c r="G11" s="34">
        <f t="shared" si="1"/>
        <v>16708300</v>
      </c>
      <c r="H11" s="33">
        <f>SUM(H12:H14)</f>
        <v>0</v>
      </c>
      <c r="I11" s="33">
        <f>SUM(I12:I14)</f>
        <v>0</v>
      </c>
      <c r="J11" s="29">
        <f t="shared" ref="J11:J23" si="2">SUM(H11:I11)</f>
        <v>0</v>
      </c>
      <c r="K11" s="21" t="s">
        <v>31</v>
      </c>
      <c r="L11" s="22" t="s">
        <v>32</v>
      </c>
    </row>
    <row r="12" spans="1:12" s="23" customFormat="1" ht="117" customHeight="1">
      <c r="A12" s="24"/>
      <c r="B12" s="25" t="s">
        <v>33</v>
      </c>
      <c r="C12" s="26">
        <v>13710000</v>
      </c>
      <c r="D12" s="27">
        <v>57600</v>
      </c>
      <c r="E12" s="28">
        <v>12152400</v>
      </c>
      <c r="F12" s="28">
        <v>1500000</v>
      </c>
      <c r="G12" s="29">
        <f t="shared" si="1"/>
        <v>13710000</v>
      </c>
      <c r="H12" s="28">
        <v>0</v>
      </c>
      <c r="I12" s="28">
        <v>0</v>
      </c>
      <c r="J12" s="29">
        <f t="shared" si="2"/>
        <v>0</v>
      </c>
      <c r="K12" s="21" t="s">
        <v>34</v>
      </c>
      <c r="L12" s="35" t="s">
        <v>35</v>
      </c>
    </row>
    <row r="13" spans="1:12" s="23" customFormat="1" ht="173.25">
      <c r="A13" s="24"/>
      <c r="B13" s="25"/>
      <c r="C13" s="26"/>
      <c r="D13" s="27"/>
      <c r="E13" s="28"/>
      <c r="F13" s="28"/>
      <c r="G13" s="29"/>
      <c r="H13" s="28"/>
      <c r="I13" s="28"/>
      <c r="J13" s="29"/>
      <c r="K13" s="21" t="s">
        <v>36</v>
      </c>
      <c r="L13" s="35"/>
    </row>
    <row r="14" spans="1:12" s="23" customFormat="1" ht="78.75">
      <c r="A14" s="24"/>
      <c r="B14" s="25" t="s">
        <v>37</v>
      </c>
      <c r="C14" s="26">
        <v>2998300</v>
      </c>
      <c r="D14" s="27">
        <f>26400+16800+12600+90000+720000</f>
        <v>865800</v>
      </c>
      <c r="E14" s="28">
        <v>1456500</v>
      </c>
      <c r="F14" s="28">
        <v>676000</v>
      </c>
      <c r="G14" s="29">
        <f t="shared" ref="G14:G23" si="3">SUM(D14:F14)</f>
        <v>2998300</v>
      </c>
      <c r="H14" s="28">
        <v>0</v>
      </c>
      <c r="I14" s="28">
        <v>0</v>
      </c>
      <c r="J14" s="29">
        <f t="shared" si="2"/>
        <v>0</v>
      </c>
      <c r="K14" s="21" t="s">
        <v>38</v>
      </c>
      <c r="L14" s="25" t="s">
        <v>39</v>
      </c>
    </row>
    <row r="15" spans="1:12" s="37" customFormat="1" ht="47.25">
      <c r="A15" s="16">
        <v>3</v>
      </c>
      <c r="B15" s="8" t="s">
        <v>40</v>
      </c>
      <c r="C15" s="26">
        <v>33970000</v>
      </c>
      <c r="D15" s="36">
        <f>SUM(D16:D23)</f>
        <v>40400</v>
      </c>
      <c r="E15" s="4">
        <f>SUM(E16:E23)</f>
        <v>4630500</v>
      </c>
      <c r="F15" s="4">
        <f>SUM(F16:F23)</f>
        <v>319100</v>
      </c>
      <c r="G15" s="34">
        <f t="shared" si="3"/>
        <v>4990000</v>
      </c>
      <c r="H15" s="4">
        <f>SUM(H16:H23)</f>
        <v>310000</v>
      </c>
      <c r="I15" s="4">
        <f>SUM(I16:I23)</f>
        <v>28670000</v>
      </c>
      <c r="J15" s="34">
        <f t="shared" si="2"/>
        <v>28980000</v>
      </c>
      <c r="K15" s="21" t="s">
        <v>41</v>
      </c>
      <c r="L15" s="22" t="s">
        <v>18</v>
      </c>
    </row>
    <row r="16" spans="1:12" s="23" customFormat="1" ht="157.5">
      <c r="A16" s="24"/>
      <c r="B16" s="35" t="s">
        <v>42</v>
      </c>
      <c r="C16" s="26">
        <v>4970000</v>
      </c>
      <c r="D16" s="30">
        <v>0</v>
      </c>
      <c r="E16" s="31">
        <v>0</v>
      </c>
      <c r="F16" s="31">
        <v>0</v>
      </c>
      <c r="G16" s="29">
        <f t="shared" si="3"/>
        <v>0</v>
      </c>
      <c r="H16" s="28">
        <v>0</v>
      </c>
      <c r="I16" s="28">
        <v>4970000</v>
      </c>
      <c r="J16" s="29">
        <f t="shared" si="2"/>
        <v>4970000</v>
      </c>
      <c r="K16" s="21" t="s">
        <v>43</v>
      </c>
      <c r="L16" s="35" t="s">
        <v>44</v>
      </c>
    </row>
    <row r="17" spans="1:12" s="23" customFormat="1" ht="94.5">
      <c r="A17" s="24"/>
      <c r="B17" s="25" t="s">
        <v>45</v>
      </c>
      <c r="C17" s="26">
        <v>12000000</v>
      </c>
      <c r="D17" s="30">
        <v>0</v>
      </c>
      <c r="E17" s="31">
        <v>0</v>
      </c>
      <c r="F17" s="31">
        <v>0</v>
      </c>
      <c r="G17" s="29">
        <f t="shared" si="3"/>
        <v>0</v>
      </c>
      <c r="H17" s="28">
        <v>0</v>
      </c>
      <c r="I17" s="28">
        <v>12000000</v>
      </c>
      <c r="J17" s="29">
        <f t="shared" si="2"/>
        <v>12000000</v>
      </c>
      <c r="K17" s="21" t="s">
        <v>46</v>
      </c>
      <c r="L17" s="35" t="s">
        <v>47</v>
      </c>
    </row>
    <row r="18" spans="1:12" s="23" customFormat="1" ht="189">
      <c r="A18" s="24"/>
      <c r="B18" s="25" t="s">
        <v>48</v>
      </c>
      <c r="C18" s="26">
        <v>3000000</v>
      </c>
      <c r="D18" s="30">
        <v>0</v>
      </c>
      <c r="E18" s="31">
        <v>0</v>
      </c>
      <c r="F18" s="31">
        <v>0</v>
      </c>
      <c r="G18" s="29">
        <f t="shared" si="3"/>
        <v>0</v>
      </c>
      <c r="H18" s="28">
        <v>0</v>
      </c>
      <c r="I18" s="28">
        <v>3000000</v>
      </c>
      <c r="J18" s="29">
        <f t="shared" si="2"/>
        <v>3000000</v>
      </c>
      <c r="K18" s="21" t="s">
        <v>49</v>
      </c>
      <c r="L18" s="35" t="s">
        <v>50</v>
      </c>
    </row>
    <row r="19" spans="1:12" s="23" customFormat="1" ht="94.5">
      <c r="A19" s="24"/>
      <c r="B19" s="25" t="s">
        <v>51</v>
      </c>
      <c r="C19" s="26">
        <v>4500000</v>
      </c>
      <c r="D19" s="27">
        <v>21600</v>
      </c>
      <c r="E19" s="28">
        <f>4412000+40000</f>
        <v>4452000</v>
      </c>
      <c r="F19" s="28">
        <v>26400</v>
      </c>
      <c r="G19" s="29">
        <f t="shared" si="3"/>
        <v>4500000</v>
      </c>
      <c r="H19" s="28">
        <v>0</v>
      </c>
      <c r="I19" s="28"/>
      <c r="J19" s="29">
        <f t="shared" si="2"/>
        <v>0</v>
      </c>
      <c r="K19" s="21" t="s">
        <v>52</v>
      </c>
      <c r="L19" s="35" t="s">
        <v>53</v>
      </c>
    </row>
    <row r="20" spans="1:12" s="23" customFormat="1" ht="63">
      <c r="A20" s="24"/>
      <c r="B20" s="25" t="s">
        <v>54</v>
      </c>
      <c r="C20" s="38">
        <v>4000000</v>
      </c>
      <c r="D20" s="31">
        <v>0</v>
      </c>
      <c r="E20" s="31">
        <v>0</v>
      </c>
      <c r="F20" s="31">
        <v>0</v>
      </c>
      <c r="G20" s="29">
        <f t="shared" si="3"/>
        <v>0</v>
      </c>
      <c r="H20" s="28">
        <v>0</v>
      </c>
      <c r="I20" s="28">
        <v>4000000</v>
      </c>
      <c r="J20" s="29">
        <f t="shared" si="2"/>
        <v>4000000</v>
      </c>
      <c r="K20" s="39" t="s">
        <v>55</v>
      </c>
      <c r="L20" s="35" t="s">
        <v>56</v>
      </c>
    </row>
    <row r="21" spans="1:12" s="23" customFormat="1" ht="47.25">
      <c r="A21" s="24"/>
      <c r="B21" s="25" t="s">
        <v>57</v>
      </c>
      <c r="C21" s="26">
        <v>2000000</v>
      </c>
      <c r="D21" s="30">
        <v>0</v>
      </c>
      <c r="E21" s="31">
        <v>0</v>
      </c>
      <c r="F21" s="31">
        <v>0</v>
      </c>
      <c r="G21" s="29">
        <f t="shared" si="3"/>
        <v>0</v>
      </c>
      <c r="H21" s="28">
        <v>0</v>
      </c>
      <c r="I21" s="28">
        <v>2000000</v>
      </c>
      <c r="J21" s="29">
        <f t="shared" si="2"/>
        <v>2000000</v>
      </c>
      <c r="K21" s="21" t="s">
        <v>58</v>
      </c>
      <c r="L21" s="35" t="s">
        <v>59</v>
      </c>
    </row>
    <row r="22" spans="1:12" s="23" customFormat="1" ht="47.25">
      <c r="A22" s="24"/>
      <c r="B22" s="25" t="s">
        <v>60</v>
      </c>
      <c r="C22" s="26">
        <v>500000</v>
      </c>
      <c r="D22" s="30">
        <v>0</v>
      </c>
      <c r="E22" s="31">
        <v>0</v>
      </c>
      <c r="F22" s="31">
        <v>0</v>
      </c>
      <c r="G22" s="29">
        <f t="shared" si="3"/>
        <v>0</v>
      </c>
      <c r="H22" s="28">
        <v>0</v>
      </c>
      <c r="I22" s="40">
        <v>500000</v>
      </c>
      <c r="J22" s="29">
        <f t="shared" si="2"/>
        <v>500000</v>
      </c>
      <c r="K22" s="21" t="s">
        <v>61</v>
      </c>
      <c r="L22" s="35" t="s">
        <v>62</v>
      </c>
    </row>
    <row r="23" spans="1:12" s="23" customFormat="1" ht="48" thickBot="1">
      <c r="A23" s="24"/>
      <c r="B23" s="25" t="s">
        <v>63</v>
      </c>
      <c r="C23" s="26">
        <v>3000000</v>
      </c>
      <c r="D23" s="41">
        <v>18800</v>
      </c>
      <c r="E23" s="42">
        <f>98500+80000</f>
        <v>178500</v>
      </c>
      <c r="F23" s="42">
        <f>246700+21000+25000</f>
        <v>292700</v>
      </c>
      <c r="G23" s="43">
        <f t="shared" si="3"/>
        <v>490000</v>
      </c>
      <c r="H23" s="42">
        <f>60000+50000+200000</f>
        <v>310000</v>
      </c>
      <c r="I23" s="42">
        <v>2200000</v>
      </c>
      <c r="J23" s="43">
        <f t="shared" si="2"/>
        <v>2510000</v>
      </c>
      <c r="K23" s="21" t="s">
        <v>64</v>
      </c>
      <c r="L23" s="35" t="s">
        <v>65</v>
      </c>
    </row>
    <row r="24" spans="1:12" s="23" customFormat="1" ht="16.5" thickTop="1">
      <c r="A24" s="44"/>
      <c r="B24" s="182" t="s">
        <v>66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4"/>
    </row>
    <row r="25" spans="1:12" s="23" customFormat="1">
      <c r="A25" s="44"/>
      <c r="B25" s="15" t="s">
        <v>67</v>
      </c>
      <c r="C25" s="45">
        <f>C26+C27</f>
        <v>20000000</v>
      </c>
      <c r="D25" s="45">
        <f t="shared" ref="D25:J25" si="4">D26+D27</f>
        <v>0</v>
      </c>
      <c r="E25" s="45">
        <f t="shared" si="4"/>
        <v>5000000</v>
      </c>
      <c r="F25" s="45">
        <f t="shared" si="4"/>
        <v>0</v>
      </c>
      <c r="G25" s="45">
        <f t="shared" si="4"/>
        <v>5000000</v>
      </c>
      <c r="H25" s="45">
        <f t="shared" si="4"/>
        <v>0</v>
      </c>
      <c r="I25" s="45">
        <f t="shared" si="4"/>
        <v>15000000</v>
      </c>
      <c r="J25" s="45">
        <f t="shared" si="4"/>
        <v>15000000</v>
      </c>
      <c r="K25" s="15"/>
      <c r="L25" s="15"/>
    </row>
    <row r="26" spans="1:12" s="9" customFormat="1" ht="204.75">
      <c r="A26" s="46">
        <v>4</v>
      </c>
      <c r="B26" s="47" t="s">
        <v>68</v>
      </c>
      <c r="C26" s="48">
        <v>5000000</v>
      </c>
      <c r="D26" s="49">
        <v>0</v>
      </c>
      <c r="E26" s="50">
        <v>5000000</v>
      </c>
      <c r="F26" s="50">
        <v>0</v>
      </c>
      <c r="G26" s="51">
        <f>SUM(D26:F26)</f>
        <v>5000000</v>
      </c>
      <c r="H26" s="50">
        <v>0</v>
      </c>
      <c r="I26" s="50">
        <v>0</v>
      </c>
      <c r="J26" s="51">
        <f>SUM(H26:I26)</f>
        <v>0</v>
      </c>
      <c r="K26" s="52" t="s">
        <v>69</v>
      </c>
      <c r="L26" s="35" t="s">
        <v>70</v>
      </c>
    </row>
    <row r="27" spans="1:12" s="9" customFormat="1" ht="48" thickBot="1">
      <c r="A27" s="16">
        <v>5</v>
      </c>
      <c r="B27" s="22" t="s">
        <v>71</v>
      </c>
      <c r="C27" s="53">
        <v>15000000</v>
      </c>
      <c r="D27" s="54">
        <v>0</v>
      </c>
      <c r="E27" s="55">
        <v>0</v>
      </c>
      <c r="F27" s="55">
        <v>0</v>
      </c>
      <c r="G27" s="56">
        <v>0</v>
      </c>
      <c r="H27" s="55">
        <v>0</v>
      </c>
      <c r="I27" s="55">
        <v>15000000</v>
      </c>
      <c r="J27" s="57">
        <f>SUM(H27:I27)</f>
        <v>15000000</v>
      </c>
      <c r="K27" s="58" t="s">
        <v>72</v>
      </c>
      <c r="L27" s="8" t="s">
        <v>73</v>
      </c>
    </row>
    <row r="28" spans="1:12" s="9" customFormat="1" ht="17.25" customHeight="1" thickTop="1">
      <c r="A28" s="16"/>
      <c r="B28" s="185" t="s">
        <v>74</v>
      </c>
      <c r="C28" s="186"/>
      <c r="D28" s="186"/>
      <c r="E28" s="186"/>
      <c r="F28" s="186"/>
      <c r="G28" s="186"/>
      <c r="K28" s="58"/>
      <c r="L28" s="15"/>
    </row>
    <row r="29" spans="1:12" s="9" customFormat="1" ht="16.5" thickBot="1">
      <c r="A29" s="16"/>
      <c r="B29" s="59" t="s">
        <v>75</v>
      </c>
      <c r="C29" s="11">
        <f>C30+C38+C43</f>
        <v>48326000</v>
      </c>
      <c r="D29" s="11">
        <f>D30+D38+D43</f>
        <v>540600</v>
      </c>
      <c r="E29" s="12">
        <f>E30+E38+E43</f>
        <v>9706400</v>
      </c>
      <c r="F29" s="12">
        <f>F30+F38+F43</f>
        <v>27169000</v>
      </c>
      <c r="G29" s="43">
        <f>SUM(D29:F29)</f>
        <v>37416000</v>
      </c>
      <c r="H29" s="12">
        <f>H30+H38+H43</f>
        <v>3275000</v>
      </c>
      <c r="I29" s="12">
        <f>I30+I38+I43</f>
        <v>7635000</v>
      </c>
      <c r="J29" s="14">
        <f>SUM(H29:I29)</f>
        <v>10910000</v>
      </c>
      <c r="K29" s="58"/>
      <c r="L29" s="15"/>
    </row>
    <row r="30" spans="1:12" s="9" customFormat="1" ht="48" thickTop="1">
      <c r="A30" s="60">
        <v>7</v>
      </c>
      <c r="B30" s="61" t="s">
        <v>76</v>
      </c>
      <c r="C30" s="48">
        <v>30328000</v>
      </c>
      <c r="D30" s="62">
        <f>SUM(D31:D37)</f>
        <v>509800</v>
      </c>
      <c r="E30" s="62">
        <f t="shared" ref="E30:F30" si="5">SUM(E31:E37)</f>
        <v>8684700</v>
      </c>
      <c r="F30" s="62">
        <f t="shared" si="5"/>
        <v>20173500</v>
      </c>
      <c r="G30" s="20">
        <f t="shared" ref="G30:G45" si="6">SUM(D30:F30)</f>
        <v>29368000</v>
      </c>
      <c r="H30" s="63">
        <f>SUM(H31:H37)</f>
        <v>960000</v>
      </c>
      <c r="I30" s="63">
        <f>SUM(I31:I37)</f>
        <v>0</v>
      </c>
      <c r="J30" s="20">
        <f>SUM(H30:I30)</f>
        <v>960000</v>
      </c>
      <c r="K30" s="58"/>
      <c r="L30" s="8" t="s">
        <v>77</v>
      </c>
    </row>
    <row r="31" spans="1:12" s="9" customFormat="1" ht="141.75">
      <c r="A31" s="44"/>
      <c r="B31" s="35" t="s">
        <v>78</v>
      </c>
      <c r="C31" s="53">
        <v>3737100</v>
      </c>
      <c r="D31" s="27">
        <f>29000+96000</f>
        <v>125000</v>
      </c>
      <c r="E31" s="31">
        <f>10000+20000+2418700+203000</f>
        <v>2651700</v>
      </c>
      <c r="F31" s="31">
        <f>80000+135000+745400</f>
        <v>960400</v>
      </c>
      <c r="G31" s="29">
        <f t="shared" si="6"/>
        <v>3737100</v>
      </c>
      <c r="H31" s="31">
        <v>0</v>
      </c>
      <c r="I31" s="31">
        <v>0</v>
      </c>
      <c r="J31" s="29">
        <f t="shared" ref="J31:J32" si="7">SUM(H31:I31)</f>
        <v>0</v>
      </c>
      <c r="K31" s="58" t="s">
        <v>79</v>
      </c>
      <c r="L31" s="35" t="s">
        <v>80</v>
      </c>
    </row>
    <row r="32" spans="1:12" s="9" customFormat="1" ht="141.75">
      <c r="A32" s="44"/>
      <c r="B32" s="35" t="s">
        <v>81</v>
      </c>
      <c r="C32" s="53">
        <v>5186500</v>
      </c>
      <c r="D32" s="30">
        <v>230400</v>
      </c>
      <c r="E32" s="31">
        <f>984000+711000+922500</f>
        <v>2617500</v>
      </c>
      <c r="F32" s="31">
        <f>1230000+148600</f>
        <v>1378600</v>
      </c>
      <c r="G32" s="29">
        <f t="shared" si="6"/>
        <v>4226500</v>
      </c>
      <c r="H32" s="31">
        <v>960000</v>
      </c>
      <c r="I32" s="31">
        <v>0</v>
      </c>
      <c r="J32" s="29">
        <f t="shared" si="7"/>
        <v>960000</v>
      </c>
      <c r="K32" s="58" t="s">
        <v>82</v>
      </c>
      <c r="L32" s="35" t="s">
        <v>83</v>
      </c>
    </row>
    <row r="33" spans="1:12" s="9" customFormat="1" ht="63">
      <c r="A33" s="44"/>
      <c r="B33" s="35" t="s">
        <v>84</v>
      </c>
      <c r="C33" s="53">
        <v>2050000</v>
      </c>
      <c r="D33" s="30">
        <v>4000</v>
      </c>
      <c r="E33" s="31">
        <f>32000+24000+132000</f>
        <v>188000</v>
      </c>
      <c r="F33" s="31">
        <f>96000+12000+1750000</f>
        <v>1858000</v>
      </c>
      <c r="G33" s="29">
        <f t="shared" si="6"/>
        <v>2050000</v>
      </c>
      <c r="H33" s="31">
        <v>0</v>
      </c>
      <c r="I33" s="31">
        <v>0</v>
      </c>
      <c r="J33" s="29">
        <f t="shared" ref="J33:J42" si="8">SUM(H33:I33)</f>
        <v>0</v>
      </c>
      <c r="K33" s="58" t="s">
        <v>85</v>
      </c>
      <c r="L33" s="35" t="s">
        <v>83</v>
      </c>
    </row>
    <row r="34" spans="1:12" s="9" customFormat="1" ht="126">
      <c r="A34" s="44"/>
      <c r="B34" s="35" t="s">
        <v>86</v>
      </c>
      <c r="C34" s="53">
        <v>9367000</v>
      </c>
      <c r="D34" s="30">
        <v>10800</v>
      </c>
      <c r="E34" s="31">
        <f>49700+1566500</f>
        <v>1616200</v>
      </c>
      <c r="F34" s="31">
        <v>7740000</v>
      </c>
      <c r="G34" s="29">
        <f t="shared" si="6"/>
        <v>9367000</v>
      </c>
      <c r="H34" s="31">
        <v>0</v>
      </c>
      <c r="I34" s="31">
        <v>0</v>
      </c>
      <c r="J34" s="29">
        <f t="shared" si="8"/>
        <v>0</v>
      </c>
      <c r="K34" s="58" t="s">
        <v>87</v>
      </c>
      <c r="L34" s="35" t="s">
        <v>88</v>
      </c>
    </row>
    <row r="35" spans="1:12" s="9" customFormat="1" ht="78.75">
      <c r="A35" s="44"/>
      <c r="B35" s="35" t="s">
        <v>89</v>
      </c>
      <c r="C35" s="53">
        <v>8427400</v>
      </c>
      <c r="D35" s="30">
        <v>57600</v>
      </c>
      <c r="E35" s="31">
        <f>301000+32000+424000</f>
        <v>757000</v>
      </c>
      <c r="F35" s="31">
        <f>4800+7312000+296000</f>
        <v>7612800</v>
      </c>
      <c r="G35" s="29">
        <f t="shared" si="6"/>
        <v>8427400</v>
      </c>
      <c r="H35" s="31">
        <v>0</v>
      </c>
      <c r="I35" s="31">
        <v>0</v>
      </c>
      <c r="J35" s="29">
        <f t="shared" si="8"/>
        <v>0</v>
      </c>
      <c r="K35" s="58" t="s">
        <v>90</v>
      </c>
      <c r="L35" s="35" t="s">
        <v>91</v>
      </c>
    </row>
    <row r="36" spans="1:12" s="9" customFormat="1" ht="110.25">
      <c r="A36" s="60"/>
      <c r="B36" s="35" t="s">
        <v>92</v>
      </c>
      <c r="C36" s="53">
        <v>1000000</v>
      </c>
      <c r="D36" s="30">
        <f>70000+4800</f>
        <v>74800</v>
      </c>
      <c r="E36" s="31">
        <f>13400+10000+770000+13000+35000</f>
        <v>841400</v>
      </c>
      <c r="F36" s="31">
        <f>12000+41800+10000+20000</f>
        <v>83800</v>
      </c>
      <c r="G36" s="29">
        <f t="shared" si="6"/>
        <v>1000000</v>
      </c>
      <c r="H36" s="31"/>
      <c r="I36" s="31"/>
      <c r="J36" s="29">
        <f t="shared" si="8"/>
        <v>0</v>
      </c>
      <c r="K36" s="58" t="s">
        <v>93</v>
      </c>
      <c r="L36" s="35" t="s">
        <v>94</v>
      </c>
    </row>
    <row r="37" spans="1:12" s="9" customFormat="1" ht="78.75">
      <c r="A37" s="60"/>
      <c r="B37" s="25" t="s">
        <v>95</v>
      </c>
      <c r="C37" s="53">
        <v>560000</v>
      </c>
      <c r="D37" s="30">
        <v>7200</v>
      </c>
      <c r="E37" s="31">
        <f>6000+6900</f>
        <v>12900</v>
      </c>
      <c r="F37" s="31">
        <f>3600+536300</f>
        <v>539900</v>
      </c>
      <c r="G37" s="29">
        <f t="shared" si="6"/>
        <v>560000</v>
      </c>
      <c r="H37" s="31">
        <v>0</v>
      </c>
      <c r="I37" s="31">
        <v>0</v>
      </c>
      <c r="J37" s="29">
        <f t="shared" si="8"/>
        <v>0</v>
      </c>
      <c r="K37" s="58" t="s">
        <v>96</v>
      </c>
      <c r="L37" s="35" t="s">
        <v>97</v>
      </c>
    </row>
    <row r="38" spans="1:12" s="9" customFormat="1" ht="47.25">
      <c r="A38" s="44">
        <v>8</v>
      </c>
      <c r="B38" s="8" t="s">
        <v>98</v>
      </c>
      <c r="C38" s="53">
        <v>10758000</v>
      </c>
      <c r="D38" s="32">
        <f>SUM(D39:D42)</f>
        <v>30800</v>
      </c>
      <c r="E38" s="33">
        <f>SUM(E39:E42)</f>
        <v>831700</v>
      </c>
      <c r="F38" s="33">
        <f>SUM(F39:F42)</f>
        <v>6995500</v>
      </c>
      <c r="G38" s="34">
        <f t="shared" si="6"/>
        <v>7858000</v>
      </c>
      <c r="H38" s="33">
        <f>SUM(H39:H42)</f>
        <v>575000</v>
      </c>
      <c r="I38" s="33">
        <f>SUM(I39:I42)</f>
        <v>2325000</v>
      </c>
      <c r="J38" s="34">
        <f t="shared" si="8"/>
        <v>2900000</v>
      </c>
      <c r="K38" s="58"/>
      <c r="L38" s="8" t="s">
        <v>99</v>
      </c>
    </row>
    <row r="39" spans="1:12" s="9" customFormat="1" ht="63">
      <c r="A39" s="44"/>
      <c r="B39" s="35" t="s">
        <v>100</v>
      </c>
      <c r="C39" s="53">
        <v>3760000</v>
      </c>
      <c r="D39" s="30">
        <v>0</v>
      </c>
      <c r="E39" s="31">
        <f>8400+193600</f>
        <v>202000</v>
      </c>
      <c r="F39" s="31">
        <f>141700+3416300</f>
        <v>3558000</v>
      </c>
      <c r="G39" s="29">
        <f t="shared" si="6"/>
        <v>3760000</v>
      </c>
      <c r="H39" s="31">
        <v>0</v>
      </c>
      <c r="I39" s="31">
        <v>0</v>
      </c>
      <c r="J39" s="29">
        <f t="shared" si="8"/>
        <v>0</v>
      </c>
      <c r="K39" s="58" t="s">
        <v>101</v>
      </c>
      <c r="L39" s="35" t="s">
        <v>102</v>
      </c>
    </row>
    <row r="40" spans="1:12" s="9" customFormat="1" ht="330.75">
      <c r="A40" s="44"/>
      <c r="B40" s="35" t="s">
        <v>103</v>
      </c>
      <c r="C40" s="53">
        <v>3622000</v>
      </c>
      <c r="D40" s="30">
        <v>28400</v>
      </c>
      <c r="E40" s="31">
        <f>321630+37500+130970</f>
        <v>490100</v>
      </c>
      <c r="F40" s="31">
        <f>62500+241000</f>
        <v>303500</v>
      </c>
      <c r="G40" s="29">
        <f t="shared" si="6"/>
        <v>822000</v>
      </c>
      <c r="H40" s="31">
        <v>475000</v>
      </c>
      <c r="I40" s="31">
        <f>350000+1975000</f>
        <v>2325000</v>
      </c>
      <c r="J40" s="29">
        <f t="shared" si="8"/>
        <v>2800000</v>
      </c>
      <c r="K40" s="58" t="s">
        <v>104</v>
      </c>
      <c r="L40" s="35" t="s">
        <v>105</v>
      </c>
    </row>
    <row r="41" spans="1:12" s="9" customFormat="1" ht="141.75">
      <c r="A41" s="44"/>
      <c r="B41" s="35" t="s">
        <v>106</v>
      </c>
      <c r="C41" s="53">
        <v>1750000</v>
      </c>
      <c r="D41" s="30">
        <v>2400</v>
      </c>
      <c r="E41" s="31">
        <v>89600</v>
      </c>
      <c r="F41" s="31">
        <v>1558000</v>
      </c>
      <c r="G41" s="29">
        <f t="shared" si="6"/>
        <v>1650000</v>
      </c>
      <c r="H41" s="31">
        <v>100000</v>
      </c>
      <c r="I41" s="31" t="s">
        <v>107</v>
      </c>
      <c r="J41" s="29">
        <f t="shared" si="8"/>
        <v>100000</v>
      </c>
      <c r="K41" s="58" t="s">
        <v>108</v>
      </c>
      <c r="L41" s="35" t="s">
        <v>109</v>
      </c>
    </row>
    <row r="42" spans="1:12" s="9" customFormat="1" ht="94.5">
      <c r="A42" s="60"/>
      <c r="B42" s="35" t="s">
        <v>110</v>
      </c>
      <c r="C42" s="53">
        <v>1626000</v>
      </c>
      <c r="D42" s="30">
        <v>0</v>
      </c>
      <c r="E42" s="31">
        <v>50000</v>
      </c>
      <c r="F42" s="31">
        <f>42000+1525000+9000</f>
        <v>1576000</v>
      </c>
      <c r="G42" s="29">
        <f t="shared" si="6"/>
        <v>1626000</v>
      </c>
      <c r="H42" s="31">
        <v>0</v>
      </c>
      <c r="I42" s="31">
        <v>0</v>
      </c>
      <c r="J42" s="29">
        <f t="shared" si="8"/>
        <v>0</v>
      </c>
      <c r="K42" s="58" t="s">
        <v>111</v>
      </c>
      <c r="L42" s="35" t="s">
        <v>83</v>
      </c>
    </row>
    <row r="43" spans="1:12" s="9" customFormat="1" ht="63">
      <c r="A43" s="60">
        <v>9</v>
      </c>
      <c r="B43" s="8" t="s">
        <v>112</v>
      </c>
      <c r="C43" s="53">
        <v>7240000</v>
      </c>
      <c r="D43" s="32">
        <f>SUM(D44:D45)</f>
        <v>0</v>
      </c>
      <c r="E43" s="33">
        <f>SUM(E44:E45)</f>
        <v>190000</v>
      </c>
      <c r="F43" s="33">
        <f>SUM(F44:F45)</f>
        <v>0</v>
      </c>
      <c r="G43" s="64">
        <f t="shared" si="6"/>
        <v>190000</v>
      </c>
      <c r="H43" s="33">
        <f>SUM(H44:H45)</f>
        <v>1740000</v>
      </c>
      <c r="I43" s="33">
        <f>SUM(I44:I45)</f>
        <v>5310000</v>
      </c>
      <c r="J43" s="64">
        <f t="shared" ref="J43:J45" si="9">SUM(H43:I43)</f>
        <v>7050000</v>
      </c>
      <c r="K43" s="58" t="s">
        <v>113</v>
      </c>
      <c r="L43" s="8" t="s">
        <v>114</v>
      </c>
    </row>
    <row r="44" spans="1:12" s="9" customFormat="1" ht="63">
      <c r="A44" s="60"/>
      <c r="B44" s="35" t="s">
        <v>115</v>
      </c>
      <c r="C44" s="53">
        <v>5240000</v>
      </c>
      <c r="D44" s="32">
        <v>0</v>
      </c>
      <c r="E44" s="31">
        <v>190000</v>
      </c>
      <c r="F44" s="31">
        <v>0</v>
      </c>
      <c r="G44" s="65">
        <f t="shared" si="6"/>
        <v>190000</v>
      </c>
      <c r="H44" s="30">
        <v>1740000</v>
      </c>
      <c r="I44" s="31">
        <v>3310000</v>
      </c>
      <c r="J44" s="65">
        <f t="shared" si="9"/>
        <v>5050000</v>
      </c>
      <c r="K44" s="58" t="s">
        <v>116</v>
      </c>
      <c r="L44" s="35" t="s">
        <v>117</v>
      </c>
    </row>
    <row r="45" spans="1:12" s="9" customFormat="1" ht="47.25">
      <c r="A45" s="60"/>
      <c r="B45" s="35" t="s">
        <v>118</v>
      </c>
      <c r="C45" s="53">
        <v>2000000</v>
      </c>
      <c r="D45" s="32">
        <v>0</v>
      </c>
      <c r="E45" s="33">
        <v>0</v>
      </c>
      <c r="F45" s="33">
        <v>0</v>
      </c>
      <c r="G45" s="65">
        <f t="shared" si="6"/>
        <v>0</v>
      </c>
      <c r="H45" s="32">
        <v>0</v>
      </c>
      <c r="I45" s="31">
        <v>2000000</v>
      </c>
      <c r="J45" s="65">
        <f t="shared" si="9"/>
        <v>2000000</v>
      </c>
      <c r="K45" s="58" t="s">
        <v>119</v>
      </c>
      <c r="L45" s="35" t="s">
        <v>120</v>
      </c>
    </row>
    <row r="46" spans="1:12" s="9" customFormat="1">
      <c r="A46" s="60"/>
      <c r="B46" s="7"/>
      <c r="C46" s="66"/>
      <c r="D46" s="32"/>
      <c r="E46" s="31"/>
      <c r="F46" s="31"/>
      <c r="G46" s="29"/>
      <c r="H46" s="31"/>
      <c r="I46" s="31"/>
      <c r="J46" s="29"/>
      <c r="K46" s="58"/>
      <c r="L46" s="35"/>
    </row>
    <row r="47" spans="1:12" s="9" customFormat="1" ht="20.25" customHeight="1">
      <c r="A47" s="44"/>
      <c r="B47" s="182" t="s">
        <v>121</v>
      </c>
      <c r="C47" s="183"/>
      <c r="D47" s="183"/>
      <c r="E47" s="183"/>
      <c r="F47" s="183"/>
      <c r="G47" s="183"/>
      <c r="H47" s="183"/>
      <c r="I47" s="183"/>
      <c r="J47" s="184"/>
      <c r="K47" s="58"/>
      <c r="L47" s="67"/>
    </row>
    <row r="48" spans="1:12" s="9" customFormat="1" ht="16.5" thickBot="1">
      <c r="A48" s="44"/>
      <c r="B48" s="10" t="s">
        <v>122</v>
      </c>
      <c r="C48" s="68">
        <f>G48+J48</f>
        <v>60928200</v>
      </c>
      <c r="D48" s="69">
        <f>D49+D73</f>
        <v>3159600</v>
      </c>
      <c r="E48" s="69">
        <f t="shared" ref="E48:I48" si="10">E49+E73</f>
        <v>12964400</v>
      </c>
      <c r="F48" s="69">
        <f t="shared" si="10"/>
        <v>8824200</v>
      </c>
      <c r="G48" s="26">
        <f>SUM(D48:F48)</f>
        <v>24948200</v>
      </c>
      <c r="H48" s="69">
        <f t="shared" si="10"/>
        <v>6190000</v>
      </c>
      <c r="I48" s="69">
        <f t="shared" si="10"/>
        <v>29790000</v>
      </c>
      <c r="J48" s="26">
        <f>SUM(H48:I48)</f>
        <v>35980000</v>
      </c>
      <c r="K48" s="58"/>
      <c r="L48" s="67"/>
    </row>
    <row r="49" spans="1:12" s="70" customFormat="1" ht="32.25" thickTop="1">
      <c r="A49" s="16">
        <v>10</v>
      </c>
      <c r="B49" s="8" t="s">
        <v>123</v>
      </c>
      <c r="C49" s="26">
        <v>51328200</v>
      </c>
      <c r="D49" s="26">
        <f>D50+D53+D57+D61+D65+D71</f>
        <v>3159600</v>
      </c>
      <c r="E49" s="26">
        <f t="shared" ref="E49:I49" si="11">E50+E53+E57+E61+E65+E71</f>
        <v>12964400</v>
      </c>
      <c r="F49" s="26">
        <f t="shared" si="11"/>
        <v>8824200</v>
      </c>
      <c r="G49" s="26">
        <f>SUM(D49:F49)</f>
        <v>24948200</v>
      </c>
      <c r="H49" s="26">
        <f t="shared" si="11"/>
        <v>6190000</v>
      </c>
      <c r="I49" s="26">
        <f t="shared" si="11"/>
        <v>20190000</v>
      </c>
      <c r="J49" s="26">
        <f>SUM(H49:I49)</f>
        <v>26380000</v>
      </c>
      <c r="K49" s="58"/>
      <c r="L49" s="38"/>
    </row>
    <row r="50" spans="1:12" s="70" customFormat="1">
      <c r="A50" s="16"/>
      <c r="B50" s="8" t="s">
        <v>124</v>
      </c>
      <c r="C50" s="53">
        <v>20817800</v>
      </c>
      <c r="D50" s="53">
        <f>D51</f>
        <v>0</v>
      </c>
      <c r="E50" s="53">
        <f t="shared" ref="E50:F50" si="12">E51</f>
        <v>0</v>
      </c>
      <c r="F50" s="53">
        <f t="shared" si="12"/>
        <v>0</v>
      </c>
      <c r="G50" s="65">
        <f>SUM(D50:F50)</f>
        <v>0</v>
      </c>
      <c r="H50" s="53">
        <f>H51+H53</f>
        <v>0</v>
      </c>
      <c r="I50" s="53">
        <f>I51</f>
        <v>16000000</v>
      </c>
      <c r="J50" s="53">
        <f>J51+J53</f>
        <v>16800000</v>
      </c>
      <c r="K50" s="58"/>
      <c r="L50" s="8"/>
    </row>
    <row r="51" spans="1:12" s="70" customFormat="1" ht="47.25">
      <c r="A51" s="16"/>
      <c r="B51" s="71" t="s">
        <v>125</v>
      </c>
      <c r="C51" s="53">
        <f>C52</f>
        <v>16000000</v>
      </c>
      <c r="D51" s="53">
        <f t="shared" ref="D51:J51" si="13">D52</f>
        <v>0</v>
      </c>
      <c r="E51" s="53">
        <f t="shared" si="13"/>
        <v>0</v>
      </c>
      <c r="F51" s="53">
        <f t="shared" si="13"/>
        <v>0</v>
      </c>
      <c r="G51" s="65">
        <f t="shared" ref="G51:G74" si="14">SUM(D51:F51)</f>
        <v>0</v>
      </c>
      <c r="H51" s="53">
        <f t="shared" si="13"/>
        <v>0</v>
      </c>
      <c r="I51" s="53">
        <f t="shared" si="13"/>
        <v>16000000</v>
      </c>
      <c r="J51" s="53">
        <f t="shared" si="13"/>
        <v>16000000</v>
      </c>
      <c r="K51" s="58"/>
      <c r="L51" s="8"/>
    </row>
    <row r="52" spans="1:12" s="9" customFormat="1" ht="63">
      <c r="A52" s="16"/>
      <c r="B52" s="72" t="s">
        <v>126</v>
      </c>
      <c r="C52" s="53">
        <v>16000000</v>
      </c>
      <c r="D52" s="32">
        <v>0</v>
      </c>
      <c r="E52" s="33">
        <v>0</v>
      </c>
      <c r="F52" s="33">
        <v>0</v>
      </c>
      <c r="G52" s="65">
        <f t="shared" si="14"/>
        <v>0</v>
      </c>
      <c r="H52" s="33">
        <v>0</v>
      </c>
      <c r="I52" s="31">
        <v>16000000</v>
      </c>
      <c r="J52" s="34">
        <f t="shared" ref="J52" si="15">SUM(H52:I52)</f>
        <v>16000000</v>
      </c>
      <c r="K52" s="58" t="s">
        <v>127</v>
      </c>
      <c r="L52" s="73" t="s">
        <v>128</v>
      </c>
    </row>
    <row r="53" spans="1:12" s="9" customFormat="1" ht="47.25">
      <c r="A53" s="16"/>
      <c r="B53" s="71" t="s">
        <v>129</v>
      </c>
      <c r="C53" s="53">
        <f>SUM(C54:C56)</f>
        <v>4817800</v>
      </c>
      <c r="D53" s="53">
        <f>SUM(D54:D56)</f>
        <v>110000</v>
      </c>
      <c r="E53" s="53">
        <f t="shared" ref="E53:J53" si="16">SUM(E54:E56)</f>
        <v>1440000</v>
      </c>
      <c r="F53" s="53">
        <f t="shared" si="16"/>
        <v>2467800</v>
      </c>
      <c r="G53" s="65">
        <f t="shared" si="14"/>
        <v>4017800</v>
      </c>
      <c r="H53" s="68">
        <f t="shared" si="16"/>
        <v>0</v>
      </c>
      <c r="I53" s="53">
        <f t="shared" si="16"/>
        <v>800000</v>
      </c>
      <c r="J53" s="66">
        <f t="shared" si="16"/>
        <v>800000</v>
      </c>
      <c r="K53" s="58"/>
      <c r="L53" s="73"/>
    </row>
    <row r="54" spans="1:12" s="9" customFormat="1" ht="94.5">
      <c r="A54" s="16"/>
      <c r="B54" s="72" t="s">
        <v>130</v>
      </c>
      <c r="C54" s="53">
        <v>2487800</v>
      </c>
      <c r="D54" s="30">
        <v>50000</v>
      </c>
      <c r="E54" s="31">
        <v>820000</v>
      </c>
      <c r="F54" s="31">
        <v>817800</v>
      </c>
      <c r="G54" s="65">
        <f t="shared" si="14"/>
        <v>1687800</v>
      </c>
      <c r="H54" s="33">
        <v>0</v>
      </c>
      <c r="I54" s="31">
        <v>800000</v>
      </c>
      <c r="J54" s="29">
        <f t="shared" ref="J54:J60" si="17">SUM(H54:I54)</f>
        <v>800000</v>
      </c>
      <c r="K54" s="58" t="s">
        <v>131</v>
      </c>
      <c r="L54" s="72" t="s">
        <v>132</v>
      </c>
    </row>
    <row r="55" spans="1:12" s="9" customFormat="1" ht="63">
      <c r="A55" s="16"/>
      <c r="B55" s="72" t="s">
        <v>133</v>
      </c>
      <c r="C55" s="53">
        <v>500000</v>
      </c>
      <c r="D55" s="30">
        <v>10000</v>
      </c>
      <c r="E55" s="31">
        <v>450000</v>
      </c>
      <c r="F55" s="31">
        <v>40000</v>
      </c>
      <c r="G55" s="65">
        <f t="shared" si="14"/>
        <v>500000</v>
      </c>
      <c r="H55" s="33">
        <v>0</v>
      </c>
      <c r="I55" s="33">
        <v>0</v>
      </c>
      <c r="J55" s="34">
        <f t="shared" si="17"/>
        <v>0</v>
      </c>
      <c r="K55" s="58" t="s">
        <v>134</v>
      </c>
      <c r="L55" s="72" t="s">
        <v>132</v>
      </c>
    </row>
    <row r="56" spans="1:12" s="9" customFormat="1" ht="78.75">
      <c r="A56" s="16"/>
      <c r="B56" s="74" t="s">
        <v>135</v>
      </c>
      <c r="C56" s="53">
        <v>1830000</v>
      </c>
      <c r="D56" s="30">
        <v>50000</v>
      </c>
      <c r="E56" s="31">
        <v>170000</v>
      </c>
      <c r="F56" s="31">
        <v>1610000</v>
      </c>
      <c r="G56" s="65">
        <f t="shared" si="14"/>
        <v>1830000</v>
      </c>
      <c r="H56" s="31"/>
      <c r="I56" s="31"/>
      <c r="J56" s="34">
        <f t="shared" si="17"/>
        <v>0</v>
      </c>
      <c r="K56" s="58" t="s">
        <v>136</v>
      </c>
      <c r="L56" s="72" t="s">
        <v>137</v>
      </c>
    </row>
    <row r="57" spans="1:12" s="9" customFormat="1" ht="47.25">
      <c r="A57" s="16"/>
      <c r="B57" s="71" t="s">
        <v>138</v>
      </c>
      <c r="C57" s="30">
        <f>C58+C59+C60</f>
        <v>13800000</v>
      </c>
      <c r="D57" s="30">
        <f>D58+D59+D60</f>
        <v>1845400</v>
      </c>
      <c r="E57" s="30">
        <f t="shared" ref="E57:I57" si="18">E58+E59+E60</f>
        <v>5033500</v>
      </c>
      <c r="F57" s="30">
        <f>F58+F59+F60</f>
        <v>731100</v>
      </c>
      <c r="G57" s="65">
        <f t="shared" si="14"/>
        <v>7610000</v>
      </c>
      <c r="H57" s="30">
        <f t="shared" si="18"/>
        <v>6190000</v>
      </c>
      <c r="I57" s="30">
        <f t="shared" si="18"/>
        <v>0</v>
      </c>
      <c r="J57" s="34">
        <f t="shared" si="17"/>
        <v>6190000</v>
      </c>
      <c r="K57" s="58"/>
      <c r="L57" s="72"/>
    </row>
    <row r="58" spans="1:12" s="9" customFormat="1" ht="47.25">
      <c r="A58" s="16"/>
      <c r="B58" s="72" t="s">
        <v>139</v>
      </c>
      <c r="C58" s="53">
        <v>8000000</v>
      </c>
      <c r="D58" s="30">
        <v>0</v>
      </c>
      <c r="E58" s="31">
        <f>1800000+1000000</f>
        <v>2800000</v>
      </c>
      <c r="F58" s="31">
        <v>0</v>
      </c>
      <c r="G58" s="65">
        <f t="shared" si="14"/>
        <v>2800000</v>
      </c>
      <c r="H58" s="31">
        <f>4700000+500000</f>
        <v>5200000</v>
      </c>
      <c r="I58" s="31">
        <v>0</v>
      </c>
      <c r="J58" s="34">
        <f t="shared" si="17"/>
        <v>5200000</v>
      </c>
      <c r="K58" s="58" t="s">
        <v>140</v>
      </c>
      <c r="L58" s="72" t="s">
        <v>141</v>
      </c>
    </row>
    <row r="59" spans="1:12" s="9" customFormat="1" ht="157.5">
      <c r="A59" s="16"/>
      <c r="B59" s="72" t="s">
        <v>142</v>
      </c>
      <c r="C59" s="53">
        <v>4800000</v>
      </c>
      <c r="D59" s="30">
        <f>288000+250000+200000+21600+640000+7800+134000+19200+250000+18000+16800</f>
        <v>1845400</v>
      </c>
      <c r="E59" s="31">
        <f>270000+400000+139000+802500+229000+123000+180000+90000</f>
        <v>2233500</v>
      </c>
      <c r="F59" s="31">
        <f>96000+250000+8400+240000+3200+76000+35300+9000+3200</f>
        <v>721100</v>
      </c>
      <c r="G59" s="65">
        <f t="shared" si="14"/>
        <v>4800000</v>
      </c>
      <c r="H59" s="31">
        <v>0</v>
      </c>
      <c r="I59" s="31">
        <v>0</v>
      </c>
      <c r="J59" s="34">
        <f t="shared" si="17"/>
        <v>0</v>
      </c>
      <c r="K59" s="58" t="s">
        <v>143</v>
      </c>
      <c r="L59" s="72" t="s">
        <v>144</v>
      </c>
    </row>
    <row r="60" spans="1:12" s="9" customFormat="1" ht="47.25">
      <c r="A60" s="75"/>
      <c r="B60" s="72" t="s">
        <v>145</v>
      </c>
      <c r="C60" s="53">
        <v>1000000</v>
      </c>
      <c r="D60" s="30">
        <v>0</v>
      </c>
      <c r="E60" s="31">
        <v>0</v>
      </c>
      <c r="F60" s="31">
        <v>10000</v>
      </c>
      <c r="G60" s="65">
        <f t="shared" si="14"/>
        <v>10000</v>
      </c>
      <c r="H60" s="31">
        <v>990000</v>
      </c>
      <c r="I60" s="33">
        <v>0</v>
      </c>
      <c r="J60" s="34">
        <f t="shared" si="17"/>
        <v>990000</v>
      </c>
      <c r="K60" s="58" t="s">
        <v>146</v>
      </c>
      <c r="L60" s="72" t="s">
        <v>147</v>
      </c>
    </row>
    <row r="61" spans="1:12" s="9" customFormat="1" ht="31.5">
      <c r="A61" s="75"/>
      <c r="B61" s="71" t="s">
        <v>148</v>
      </c>
      <c r="C61" s="53">
        <f>C62+C63+C64</f>
        <v>6288000</v>
      </c>
      <c r="D61" s="53">
        <f t="shared" ref="D61:J61" si="19">D62+D63+D64</f>
        <v>429600</v>
      </c>
      <c r="E61" s="53">
        <f t="shared" si="19"/>
        <v>1844400</v>
      </c>
      <c r="F61" s="53">
        <f t="shared" si="19"/>
        <v>624000</v>
      </c>
      <c r="G61" s="65">
        <f t="shared" si="14"/>
        <v>2898000</v>
      </c>
      <c r="H61" s="53">
        <f t="shared" si="19"/>
        <v>0</v>
      </c>
      <c r="I61" s="53">
        <f t="shared" si="19"/>
        <v>3390000</v>
      </c>
      <c r="J61" s="53">
        <f t="shared" si="19"/>
        <v>3390000</v>
      </c>
      <c r="K61" s="58" t="s">
        <v>107</v>
      </c>
      <c r="L61" s="72"/>
    </row>
    <row r="62" spans="1:12" s="9" customFormat="1" ht="126">
      <c r="A62" s="75"/>
      <c r="B62" s="76" t="s">
        <v>149</v>
      </c>
      <c r="C62" s="77">
        <v>1400000</v>
      </c>
      <c r="D62" s="31">
        <v>144000</v>
      </c>
      <c r="E62" s="31">
        <f>66000+80000+176000+615000+164000</f>
        <v>1101000</v>
      </c>
      <c r="F62" s="31">
        <f>22000+82000+10000+41000</f>
        <v>155000</v>
      </c>
      <c r="G62" s="65">
        <f t="shared" si="14"/>
        <v>1400000</v>
      </c>
      <c r="H62" s="31">
        <v>0</v>
      </c>
      <c r="I62" s="31">
        <v>0</v>
      </c>
      <c r="J62" s="34">
        <f t="shared" ref="J62:J65" si="20">SUM(H62:I62)</f>
        <v>0</v>
      </c>
      <c r="K62" s="78" t="s">
        <v>150</v>
      </c>
      <c r="L62" s="72" t="s">
        <v>151</v>
      </c>
    </row>
    <row r="63" spans="1:12" s="9" customFormat="1" ht="94.5">
      <c r="A63" s="75"/>
      <c r="B63" s="74" t="s">
        <v>152</v>
      </c>
      <c r="C63" s="66">
        <v>2861000</v>
      </c>
      <c r="D63" s="31">
        <v>21600</v>
      </c>
      <c r="E63" s="31">
        <f>78000+58500+100000+9900+12000</f>
        <v>258400</v>
      </c>
      <c r="F63" s="31">
        <f>65000+13000+13000</f>
        <v>91000</v>
      </c>
      <c r="G63" s="65">
        <f t="shared" si="14"/>
        <v>371000</v>
      </c>
      <c r="H63" s="31">
        <v>0</v>
      </c>
      <c r="I63" s="31">
        <v>2490000</v>
      </c>
      <c r="J63" s="34">
        <f t="shared" si="20"/>
        <v>2490000</v>
      </c>
      <c r="K63" s="58" t="s">
        <v>153</v>
      </c>
      <c r="L63" s="72" t="s">
        <v>154</v>
      </c>
    </row>
    <row r="64" spans="1:12" s="70" customFormat="1" ht="110.25">
      <c r="A64" s="75"/>
      <c r="B64" s="79" t="s">
        <v>155</v>
      </c>
      <c r="C64" s="66">
        <v>2027000</v>
      </c>
      <c r="D64" s="31">
        <f>180000+84000</f>
        <v>264000</v>
      </c>
      <c r="E64" s="31">
        <f>37500+27500+300000+35000+24000+39000+22000</f>
        <v>485000</v>
      </c>
      <c r="F64" s="31">
        <f>263000+30000+48000+2000+35000</f>
        <v>378000</v>
      </c>
      <c r="G64" s="65">
        <f t="shared" si="14"/>
        <v>1127000</v>
      </c>
      <c r="H64" s="31">
        <v>0</v>
      </c>
      <c r="I64" s="31">
        <f>600000+300000</f>
        <v>900000</v>
      </c>
      <c r="J64" s="34">
        <f t="shared" si="20"/>
        <v>900000</v>
      </c>
      <c r="K64" s="58" t="s">
        <v>156</v>
      </c>
      <c r="L64" s="72" t="s">
        <v>157</v>
      </c>
    </row>
    <row r="65" spans="1:12" s="70" customFormat="1" ht="78.75">
      <c r="A65" s="75"/>
      <c r="B65" s="80" t="s">
        <v>158</v>
      </c>
      <c r="C65" s="53">
        <f>C66+C67+C68+C69+C70</f>
        <v>5297100</v>
      </c>
      <c r="D65" s="53">
        <f t="shared" ref="D65:I65" si="21">D66+D67+D68+D69+D70</f>
        <v>774600</v>
      </c>
      <c r="E65" s="53">
        <f t="shared" si="21"/>
        <v>3729800</v>
      </c>
      <c r="F65" s="53">
        <f t="shared" si="21"/>
        <v>792700</v>
      </c>
      <c r="G65" s="65">
        <f t="shared" si="14"/>
        <v>5297100</v>
      </c>
      <c r="H65" s="53">
        <f t="shared" si="21"/>
        <v>0</v>
      </c>
      <c r="I65" s="53">
        <f t="shared" si="21"/>
        <v>0</v>
      </c>
      <c r="J65" s="34">
        <f t="shared" si="20"/>
        <v>0</v>
      </c>
      <c r="K65" s="58"/>
      <c r="L65" s="72"/>
    </row>
    <row r="66" spans="1:12" s="70" customFormat="1" ht="94.5">
      <c r="A66" s="75"/>
      <c r="B66" s="79" t="s">
        <v>159</v>
      </c>
      <c r="C66" s="53">
        <v>3160000</v>
      </c>
      <c r="D66" s="30">
        <f>70000+90000</f>
        <v>160000</v>
      </c>
      <c r="E66" s="31">
        <f>2315200+200000</f>
        <v>2515200</v>
      </c>
      <c r="F66" s="31">
        <f>120000+200000+150000+14800</f>
        <v>484800</v>
      </c>
      <c r="G66" s="65">
        <f t="shared" si="14"/>
        <v>3160000</v>
      </c>
      <c r="H66" s="31">
        <v>0</v>
      </c>
      <c r="I66" s="31">
        <v>0</v>
      </c>
      <c r="J66" s="34">
        <f t="shared" ref="J66:J70" si="22">SUM(H66:I66)</f>
        <v>0</v>
      </c>
      <c r="K66" s="58" t="s">
        <v>160</v>
      </c>
      <c r="L66" s="72" t="s">
        <v>161</v>
      </c>
    </row>
    <row r="67" spans="1:12" s="9" customFormat="1" ht="47.25">
      <c r="A67" s="75"/>
      <c r="B67" s="79" t="s">
        <v>162</v>
      </c>
      <c r="C67" s="53">
        <v>740000</v>
      </c>
      <c r="D67" s="30">
        <f>86400+160000+80400</f>
        <v>326800</v>
      </c>
      <c r="E67" s="31">
        <f>300200+48000</f>
        <v>348200</v>
      </c>
      <c r="F67" s="31">
        <f>15000+60000+40000-50000</f>
        <v>65000</v>
      </c>
      <c r="G67" s="65">
        <f t="shared" si="14"/>
        <v>740000</v>
      </c>
      <c r="H67" s="31"/>
      <c r="I67" s="31">
        <v>0</v>
      </c>
      <c r="J67" s="34">
        <f t="shared" si="22"/>
        <v>0</v>
      </c>
      <c r="K67" s="58" t="s">
        <v>163</v>
      </c>
      <c r="L67" s="72" t="s">
        <v>164</v>
      </c>
    </row>
    <row r="68" spans="1:12" s="9" customFormat="1" ht="47.25">
      <c r="A68" s="75"/>
      <c r="B68" s="79" t="s">
        <v>165</v>
      </c>
      <c r="C68" s="53">
        <v>500000</v>
      </c>
      <c r="D68" s="30">
        <v>86400</v>
      </c>
      <c r="E68" s="31">
        <v>351000</v>
      </c>
      <c r="F68" s="31">
        <v>62600</v>
      </c>
      <c r="G68" s="65">
        <f t="shared" si="14"/>
        <v>500000</v>
      </c>
      <c r="H68" s="31">
        <v>0</v>
      </c>
      <c r="I68" s="31">
        <v>0</v>
      </c>
      <c r="J68" s="34">
        <f t="shared" si="22"/>
        <v>0</v>
      </c>
      <c r="K68" s="58" t="s">
        <v>166</v>
      </c>
      <c r="L68" s="72" t="s">
        <v>167</v>
      </c>
    </row>
    <row r="69" spans="1:12" s="9" customFormat="1" ht="78.75">
      <c r="A69" s="75"/>
      <c r="B69" s="79" t="s">
        <v>168</v>
      </c>
      <c r="C69" s="53">
        <v>600000</v>
      </c>
      <c r="D69" s="30">
        <f>124600+21600</f>
        <v>146200</v>
      </c>
      <c r="E69" s="31">
        <f>305500+30000+50000+16000</f>
        <v>401500</v>
      </c>
      <c r="F69" s="31">
        <f>12300+20000+20000</f>
        <v>52300</v>
      </c>
      <c r="G69" s="65">
        <f t="shared" si="14"/>
        <v>600000</v>
      </c>
      <c r="H69" s="31">
        <v>0</v>
      </c>
      <c r="I69" s="31">
        <v>0</v>
      </c>
      <c r="J69" s="34">
        <f t="shared" si="22"/>
        <v>0</v>
      </c>
      <c r="K69" s="58" t="s">
        <v>169</v>
      </c>
      <c r="L69" s="72" t="s">
        <v>170</v>
      </c>
    </row>
    <row r="70" spans="1:12" s="9" customFormat="1" ht="31.5">
      <c r="A70" s="75"/>
      <c r="B70" s="79" t="s">
        <v>171</v>
      </c>
      <c r="C70" s="53">
        <v>297100</v>
      </c>
      <c r="D70" s="30">
        <v>55200</v>
      </c>
      <c r="E70" s="31">
        <v>113900</v>
      </c>
      <c r="F70" s="31">
        <f>14400+42000+21600+50000</f>
        <v>128000</v>
      </c>
      <c r="G70" s="65">
        <f t="shared" si="14"/>
        <v>297100</v>
      </c>
      <c r="H70" s="31"/>
      <c r="I70" s="31"/>
      <c r="J70" s="34">
        <f t="shared" si="22"/>
        <v>0</v>
      </c>
      <c r="K70" s="58" t="s">
        <v>172</v>
      </c>
      <c r="L70" s="72" t="s">
        <v>97</v>
      </c>
    </row>
    <row r="71" spans="1:12" s="70" customFormat="1" ht="47.25">
      <c r="A71" s="75"/>
      <c r="B71" s="80" t="s">
        <v>173</v>
      </c>
      <c r="C71" s="53">
        <v>5125300</v>
      </c>
      <c r="D71" s="53">
        <f>D72</f>
        <v>0</v>
      </c>
      <c r="E71" s="53">
        <f t="shared" ref="E71:F71" si="23">E72</f>
        <v>916700</v>
      </c>
      <c r="F71" s="53">
        <f t="shared" si="23"/>
        <v>4208600</v>
      </c>
      <c r="G71" s="65">
        <f t="shared" si="14"/>
        <v>5125300</v>
      </c>
      <c r="H71" s="53">
        <f>H72</f>
        <v>0</v>
      </c>
      <c r="I71" s="53">
        <f>I72</f>
        <v>0</v>
      </c>
      <c r="J71" s="53">
        <f>J72</f>
        <v>0</v>
      </c>
      <c r="K71" s="58"/>
      <c r="L71" s="71"/>
    </row>
    <row r="72" spans="1:12" s="70" customFormat="1" ht="47.25">
      <c r="A72" s="75"/>
      <c r="B72" s="79" t="s">
        <v>174</v>
      </c>
      <c r="C72" s="53">
        <v>5125300</v>
      </c>
      <c r="D72" s="32">
        <v>0</v>
      </c>
      <c r="E72" s="31">
        <v>916700</v>
      </c>
      <c r="F72" s="31">
        <v>4208600</v>
      </c>
      <c r="G72" s="65">
        <f>SUM(D72:F72)</f>
        <v>5125300</v>
      </c>
      <c r="H72" s="53">
        <v>0</v>
      </c>
      <c r="I72" s="53">
        <v>0</v>
      </c>
      <c r="J72" s="53">
        <v>0</v>
      </c>
      <c r="K72" s="58" t="s">
        <v>175</v>
      </c>
      <c r="L72" s="72" t="s">
        <v>53</v>
      </c>
    </row>
    <row r="73" spans="1:12" s="9" customFormat="1" ht="47.25">
      <c r="A73" s="75">
        <v>11</v>
      </c>
      <c r="B73" s="81" t="s">
        <v>176</v>
      </c>
      <c r="C73" s="53">
        <v>9600000</v>
      </c>
      <c r="D73" s="82">
        <v>0</v>
      </c>
      <c r="E73" s="83">
        <v>0</v>
      </c>
      <c r="F73" s="83">
        <v>0</v>
      </c>
      <c r="G73" s="65">
        <f t="shared" si="14"/>
        <v>0</v>
      </c>
      <c r="H73" s="83">
        <v>0</v>
      </c>
      <c r="I73" s="84">
        <v>9600000</v>
      </c>
      <c r="J73" s="34">
        <f t="shared" ref="J73" si="24">SUM(H73:I73)</f>
        <v>9600000</v>
      </c>
      <c r="K73" s="58" t="s">
        <v>177</v>
      </c>
      <c r="L73" s="81" t="s">
        <v>128</v>
      </c>
    </row>
    <row r="74" spans="1:12" s="70" customFormat="1" ht="31.5">
      <c r="A74" s="75">
        <v>12</v>
      </c>
      <c r="B74" s="22" t="s">
        <v>178</v>
      </c>
      <c r="C74" s="53">
        <v>10000000</v>
      </c>
      <c r="D74" s="53" t="s">
        <v>179</v>
      </c>
      <c r="E74" s="53"/>
      <c r="F74" s="53"/>
      <c r="G74" s="65">
        <f t="shared" si="14"/>
        <v>0</v>
      </c>
      <c r="H74" s="68"/>
      <c r="I74" s="53"/>
      <c r="J74" s="66"/>
      <c r="K74" s="58" t="s">
        <v>180</v>
      </c>
      <c r="L74" s="22" t="s">
        <v>181</v>
      </c>
    </row>
    <row r="75" spans="1:12" s="70" customFormat="1" ht="31.5">
      <c r="A75" s="75"/>
      <c r="B75" s="22" t="s">
        <v>182</v>
      </c>
      <c r="C75" s="53">
        <v>206607100</v>
      </c>
      <c r="D75" s="53">
        <f>D5+D25+D29+D48</f>
        <v>5536000</v>
      </c>
      <c r="E75" s="53">
        <f t="shared" ref="E75:I75" si="25">E5+E25+E29+E48</f>
        <v>61712800</v>
      </c>
      <c r="F75" s="53">
        <f t="shared" si="25"/>
        <v>38488300</v>
      </c>
      <c r="G75" s="68">
        <f>SUM(D75:F75)</f>
        <v>105737100</v>
      </c>
      <c r="H75" s="53">
        <f t="shared" si="25"/>
        <v>9775000</v>
      </c>
      <c r="I75" s="53">
        <f t="shared" si="25"/>
        <v>81095000</v>
      </c>
      <c r="J75" s="66">
        <f>SUM(H75:I75)</f>
        <v>90870000</v>
      </c>
      <c r="K75" s="58"/>
      <c r="L75" s="68" t="s">
        <v>107</v>
      </c>
    </row>
    <row r="76" spans="1:12" s="9" customFormat="1">
      <c r="A76" s="85"/>
      <c r="B76" s="86"/>
      <c r="C76" s="87"/>
      <c r="D76" s="87"/>
      <c r="E76" s="87"/>
      <c r="F76" s="87"/>
      <c r="G76" s="87"/>
      <c r="H76" s="87"/>
      <c r="I76" s="87"/>
      <c r="J76" s="87"/>
      <c r="K76" s="88" t="s">
        <v>107</v>
      </c>
      <c r="L76" s="86"/>
    </row>
    <row r="77" spans="1:12" s="9" customFormat="1">
      <c r="A77" s="89"/>
      <c r="C77" s="77"/>
      <c r="D77" s="77"/>
      <c r="E77" s="77"/>
      <c r="F77" s="77"/>
      <c r="G77" s="77"/>
      <c r="H77" s="77"/>
      <c r="I77" s="77"/>
      <c r="J77" s="77"/>
      <c r="K77" s="90"/>
    </row>
  </sheetData>
  <mergeCells count="10">
    <mergeCell ref="B4:J4"/>
    <mergeCell ref="B24:L24"/>
    <mergeCell ref="B28:G28"/>
    <mergeCell ref="B47:J47"/>
    <mergeCell ref="A1:L1"/>
    <mergeCell ref="A2:A3"/>
    <mergeCell ref="B2:B3"/>
    <mergeCell ref="C2:C3"/>
    <mergeCell ref="D2:G2"/>
    <mergeCell ref="H2:J2"/>
  </mergeCells>
  <pageMargins left="0.15748031496062992" right="0.15748031496062992" top="0.16" bottom="0.16" header="0.51181102362204722" footer="0.23622047244094491"/>
  <pageSetup paperSize="9" scale="93" orientation="landscape" r:id="rId1"/>
  <headerFooter alignWithMargins="0"/>
  <rowBreaks count="4" manualBreakCount="4">
    <brk id="23" max="11" man="1"/>
    <brk id="46" max="4" man="1"/>
    <brk id="64" max="4" man="1"/>
    <brk id="7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50"/>
  </sheetPr>
  <dimension ref="A1:H81"/>
  <sheetViews>
    <sheetView view="pageBreakPreview" zoomScale="130" zoomScaleSheetLayoutView="130" workbookViewId="0">
      <pane xSplit="1" ySplit="3" topLeftCell="B61" activePane="bottomRight" state="frozen"/>
      <selection activeCell="B72" sqref="B72"/>
      <selection pane="topRight" activeCell="B72" sqref="B72"/>
      <selection pane="bottomLeft" activeCell="B72" sqref="B72"/>
      <selection pane="bottomRight" activeCell="B72" sqref="B72"/>
    </sheetView>
  </sheetViews>
  <sheetFormatPr defaultRowHeight="15.75"/>
  <cols>
    <col min="1" max="1" width="3.140625" style="91" customWidth="1"/>
    <col min="2" max="2" width="30.7109375" style="1" customWidth="1"/>
    <col min="3" max="3" width="14" style="77" customWidth="1"/>
    <col min="4" max="4" width="17.7109375" style="94" customWidth="1"/>
    <col min="5" max="5" width="22.85546875" style="1" customWidth="1"/>
    <col min="6" max="6" width="21.140625" style="109" customWidth="1"/>
    <col min="7" max="7" width="16.28515625" style="105" customWidth="1"/>
    <col min="8" max="8" width="18.28515625" style="100" customWidth="1"/>
    <col min="9" max="16384" width="9.140625" style="1"/>
  </cols>
  <sheetData>
    <row r="1" spans="1:8">
      <c r="A1" s="187" t="s">
        <v>0</v>
      </c>
      <c r="B1" s="187"/>
      <c r="C1" s="187"/>
      <c r="D1" s="187"/>
    </row>
    <row r="2" spans="1:8">
      <c r="A2" s="188" t="s">
        <v>1</v>
      </c>
      <c r="B2" s="190" t="s">
        <v>2</v>
      </c>
      <c r="C2" s="192" t="s">
        <v>184</v>
      </c>
      <c r="D2" s="3" t="s">
        <v>6</v>
      </c>
      <c r="E2" s="97" t="s">
        <v>185</v>
      </c>
      <c r="F2" s="97" t="s">
        <v>186</v>
      </c>
      <c r="G2" s="98" t="s">
        <v>187</v>
      </c>
      <c r="H2" s="99" t="s">
        <v>188</v>
      </c>
    </row>
    <row r="3" spans="1:8">
      <c r="A3" s="189"/>
      <c r="B3" s="191"/>
      <c r="C3" s="193"/>
      <c r="D3" s="3"/>
      <c r="E3" s="97"/>
      <c r="F3" s="97"/>
      <c r="G3" s="98"/>
      <c r="H3" s="99"/>
    </row>
    <row r="4" spans="1:8" s="9" customFormat="1">
      <c r="A4" s="6"/>
      <c r="B4" s="182" t="s">
        <v>14</v>
      </c>
      <c r="C4" s="183"/>
      <c r="D4" s="8"/>
      <c r="E4" s="25"/>
      <c r="F4" s="95"/>
      <c r="G4" s="96"/>
      <c r="H4" s="101"/>
    </row>
    <row r="5" spans="1:8" s="9" customFormat="1">
      <c r="A5" s="6"/>
      <c r="B5" s="10" t="s">
        <v>15</v>
      </c>
      <c r="C5" s="4">
        <f>C6+C11+C14</f>
        <v>67352900</v>
      </c>
      <c r="D5" s="15"/>
      <c r="E5" s="25"/>
      <c r="F5" s="95"/>
      <c r="G5" s="96"/>
      <c r="H5" s="101"/>
    </row>
    <row r="6" spans="1:8" s="23" customFormat="1" ht="31.5">
      <c r="A6" s="16">
        <v>1</v>
      </c>
      <c r="B6" s="8" t="s">
        <v>16</v>
      </c>
      <c r="C6" s="17">
        <v>16674600</v>
      </c>
      <c r="D6" s="22" t="s">
        <v>18</v>
      </c>
      <c r="E6" s="35"/>
      <c r="F6" s="110"/>
      <c r="G6" s="106"/>
      <c r="H6" s="102"/>
    </row>
    <row r="7" spans="1:8" s="23" customFormat="1" ht="31.5">
      <c r="A7" s="24"/>
      <c r="B7" s="25" t="s">
        <v>19</v>
      </c>
      <c r="C7" s="26">
        <v>5000000</v>
      </c>
      <c r="D7" s="25" t="s">
        <v>192</v>
      </c>
      <c r="E7" s="35"/>
      <c r="F7" s="110"/>
      <c r="G7" s="106"/>
      <c r="H7" s="102"/>
    </row>
    <row r="8" spans="1:8" s="23" customFormat="1" ht="47.25">
      <c r="A8" s="24"/>
      <c r="B8" s="25" t="s">
        <v>21</v>
      </c>
      <c r="C8" s="26">
        <v>74600</v>
      </c>
      <c r="D8" s="25" t="s">
        <v>23</v>
      </c>
      <c r="E8" s="35"/>
      <c r="F8" s="110"/>
      <c r="G8" s="106"/>
      <c r="H8" s="102"/>
    </row>
    <row r="9" spans="1:8" s="23" customFormat="1">
      <c r="A9" s="24"/>
      <c r="B9" s="25" t="s">
        <v>24</v>
      </c>
      <c r="C9" s="26">
        <v>2600000</v>
      </c>
      <c r="D9" s="25" t="s">
        <v>26</v>
      </c>
      <c r="E9" s="35"/>
      <c r="F9" s="110"/>
      <c r="G9" s="106"/>
      <c r="H9" s="102"/>
    </row>
    <row r="10" spans="1:8" s="23" customFormat="1" ht="47.25">
      <c r="A10" s="24"/>
      <c r="B10" s="25" t="s">
        <v>27</v>
      </c>
      <c r="C10" s="26">
        <v>9000000</v>
      </c>
      <c r="D10" s="25" t="s">
        <v>29</v>
      </c>
      <c r="E10" s="35"/>
      <c r="F10" s="110"/>
      <c r="G10" s="106"/>
      <c r="H10" s="102"/>
    </row>
    <row r="11" spans="1:8" s="23" customFormat="1" ht="47.25">
      <c r="A11" s="16">
        <v>2</v>
      </c>
      <c r="B11" s="8" t="s">
        <v>30</v>
      </c>
      <c r="C11" s="26">
        <v>16708300</v>
      </c>
      <c r="D11" s="22" t="s">
        <v>32</v>
      </c>
      <c r="E11" s="35"/>
      <c r="F11" s="110"/>
      <c r="G11" s="106"/>
      <c r="H11" s="102"/>
    </row>
    <row r="12" spans="1:8" s="23" customFormat="1" ht="31.5">
      <c r="A12" s="24"/>
      <c r="B12" s="25" t="s">
        <v>33</v>
      </c>
      <c r="C12" s="26">
        <v>13710000</v>
      </c>
      <c r="D12" s="35" t="s">
        <v>35</v>
      </c>
      <c r="E12" s="35"/>
      <c r="F12" s="110"/>
      <c r="G12" s="106"/>
      <c r="H12" s="102"/>
    </row>
    <row r="13" spans="1:8" s="23" customFormat="1" ht="31.5">
      <c r="A13" s="24"/>
      <c r="B13" s="25" t="s">
        <v>37</v>
      </c>
      <c r="C13" s="26">
        <v>2998300</v>
      </c>
      <c r="D13" s="25" t="s">
        <v>39</v>
      </c>
      <c r="E13" s="35"/>
      <c r="F13" s="110"/>
      <c r="G13" s="106"/>
      <c r="H13" s="102"/>
    </row>
    <row r="14" spans="1:8" s="37" customFormat="1" ht="31.5">
      <c r="A14" s="16">
        <v>3</v>
      </c>
      <c r="B14" s="8" t="s">
        <v>40</v>
      </c>
      <c r="C14" s="26">
        <v>33970000</v>
      </c>
      <c r="D14" s="22" t="s">
        <v>18</v>
      </c>
      <c r="E14" s="8"/>
      <c r="F14" s="67"/>
      <c r="G14" s="107"/>
      <c r="H14" s="103"/>
    </row>
    <row r="15" spans="1:8" s="23" customFormat="1" ht="31.5">
      <c r="A15" s="24"/>
      <c r="B15" s="35" t="s">
        <v>42</v>
      </c>
      <c r="C15" s="26">
        <v>4970000</v>
      </c>
      <c r="D15" s="35" t="s">
        <v>44</v>
      </c>
      <c r="E15" s="35"/>
      <c r="F15" s="110"/>
      <c r="G15" s="106"/>
      <c r="H15" s="102"/>
    </row>
    <row r="16" spans="1:8" s="23" customFormat="1" ht="63">
      <c r="A16" s="24"/>
      <c r="B16" s="25" t="s">
        <v>45</v>
      </c>
      <c r="C16" s="26">
        <v>12000000</v>
      </c>
      <c r="D16" s="35" t="s">
        <v>47</v>
      </c>
      <c r="E16" s="35"/>
      <c r="F16" s="110"/>
      <c r="G16" s="106"/>
      <c r="H16" s="102"/>
    </row>
    <row r="17" spans="1:8" s="23" customFormat="1" ht="31.5">
      <c r="A17" s="24"/>
      <c r="B17" s="25" t="s">
        <v>48</v>
      </c>
      <c r="C17" s="26">
        <v>3000000</v>
      </c>
      <c r="D17" s="35" t="s">
        <v>50</v>
      </c>
      <c r="E17" s="35"/>
      <c r="F17" s="110"/>
      <c r="G17" s="106"/>
      <c r="H17" s="102"/>
    </row>
    <row r="18" spans="1:8" s="23" customFormat="1" ht="31.5">
      <c r="A18" s="24"/>
      <c r="B18" s="25" t="s">
        <v>51</v>
      </c>
      <c r="C18" s="26">
        <v>4500000</v>
      </c>
      <c r="D18" s="35" t="s">
        <v>53</v>
      </c>
      <c r="E18" s="35"/>
      <c r="F18" s="110"/>
      <c r="G18" s="106"/>
      <c r="H18" s="102"/>
    </row>
    <row r="19" spans="1:8" s="23" customFormat="1" ht="31.5">
      <c r="A19" s="24"/>
      <c r="B19" s="25" t="s">
        <v>54</v>
      </c>
      <c r="C19" s="38">
        <v>4000000</v>
      </c>
      <c r="D19" s="35" t="s">
        <v>56</v>
      </c>
      <c r="E19" s="35"/>
      <c r="F19" s="110"/>
      <c r="G19" s="106"/>
      <c r="H19" s="102"/>
    </row>
    <row r="20" spans="1:8" s="23" customFormat="1" ht="31.5">
      <c r="A20" s="24"/>
      <c r="B20" s="25" t="s">
        <v>57</v>
      </c>
      <c r="C20" s="26">
        <v>2000000</v>
      </c>
      <c r="D20" s="35" t="s">
        <v>59</v>
      </c>
      <c r="E20" s="35" t="s">
        <v>193</v>
      </c>
      <c r="F20" s="110" t="s">
        <v>194</v>
      </c>
      <c r="G20" s="106">
        <v>35341001</v>
      </c>
      <c r="H20" s="102" t="s">
        <v>201</v>
      </c>
    </row>
    <row r="21" spans="1:8" s="23" customFormat="1" ht="31.5">
      <c r="A21" s="24"/>
      <c r="B21" s="25" t="s">
        <v>60</v>
      </c>
      <c r="C21" s="26">
        <v>500000</v>
      </c>
      <c r="D21" s="35" t="s">
        <v>62</v>
      </c>
      <c r="E21" s="35"/>
      <c r="F21" s="110"/>
      <c r="G21" s="106"/>
      <c r="H21" s="102"/>
    </row>
    <row r="22" spans="1:8" s="23" customFormat="1" ht="31.5">
      <c r="A22" s="24"/>
      <c r="B22" s="25" t="s">
        <v>63</v>
      </c>
      <c r="C22" s="26">
        <v>3000000</v>
      </c>
      <c r="D22" s="35" t="s">
        <v>65</v>
      </c>
      <c r="E22" s="35" t="s">
        <v>221</v>
      </c>
      <c r="F22" s="110" t="s">
        <v>222</v>
      </c>
      <c r="G22" s="106">
        <v>35381636</v>
      </c>
      <c r="H22" s="102" t="s">
        <v>223</v>
      </c>
    </row>
    <row r="23" spans="1:8" s="23" customFormat="1">
      <c r="A23" s="24"/>
      <c r="B23" s="25"/>
      <c r="C23" s="38"/>
      <c r="D23" s="35"/>
      <c r="E23" s="35" t="s">
        <v>224</v>
      </c>
      <c r="F23" s="110" t="s">
        <v>225</v>
      </c>
      <c r="G23" s="106">
        <v>35381507</v>
      </c>
      <c r="H23" s="102" t="s">
        <v>226</v>
      </c>
    </row>
    <row r="24" spans="1:8" s="23" customFormat="1">
      <c r="A24" s="44"/>
      <c r="B24" s="182" t="s">
        <v>66</v>
      </c>
      <c r="C24" s="183"/>
      <c r="D24" s="184"/>
      <c r="E24" s="35"/>
      <c r="F24" s="110"/>
      <c r="G24" s="106"/>
      <c r="H24" s="102"/>
    </row>
    <row r="25" spans="1:8" s="23" customFormat="1">
      <c r="A25" s="44"/>
      <c r="B25" s="15" t="s">
        <v>67</v>
      </c>
      <c r="C25" s="45">
        <f>C26+C27</f>
        <v>20000000</v>
      </c>
      <c r="D25" s="15"/>
      <c r="E25" s="35"/>
      <c r="F25" s="110"/>
      <c r="G25" s="106"/>
      <c r="H25" s="102"/>
    </row>
    <row r="26" spans="1:8" s="9" customFormat="1" ht="31.5">
      <c r="A26" s="46">
        <v>4</v>
      </c>
      <c r="B26" s="47" t="s">
        <v>68</v>
      </c>
      <c r="C26" s="48">
        <v>5000000</v>
      </c>
      <c r="D26" s="35" t="s">
        <v>195</v>
      </c>
      <c r="E26" s="25"/>
      <c r="F26" s="95"/>
      <c r="G26" s="96"/>
      <c r="H26" s="101"/>
    </row>
    <row r="27" spans="1:8" s="9" customFormat="1" ht="31.5">
      <c r="A27" s="16">
        <v>5</v>
      </c>
      <c r="B27" s="22" t="s">
        <v>71</v>
      </c>
      <c r="C27" s="53">
        <v>15000000</v>
      </c>
      <c r="D27" s="8" t="s">
        <v>73</v>
      </c>
      <c r="E27" s="25" t="s">
        <v>215</v>
      </c>
      <c r="F27" s="95" t="s">
        <v>216</v>
      </c>
      <c r="G27" s="96">
        <v>35328712</v>
      </c>
      <c r="H27" s="101" t="s">
        <v>217</v>
      </c>
    </row>
    <row r="28" spans="1:8" s="9" customFormat="1">
      <c r="A28" s="16"/>
      <c r="B28" s="112"/>
      <c r="C28" s="113"/>
      <c r="D28" s="8"/>
      <c r="E28" s="25" t="s">
        <v>218</v>
      </c>
      <c r="F28" s="95" t="s">
        <v>219</v>
      </c>
      <c r="G28" s="96">
        <v>35328712</v>
      </c>
      <c r="H28" s="101" t="s">
        <v>220</v>
      </c>
    </row>
    <row r="29" spans="1:8" s="9" customFormat="1">
      <c r="A29" s="16"/>
      <c r="B29" s="185" t="s">
        <v>74</v>
      </c>
      <c r="C29" s="186"/>
      <c r="D29" s="15"/>
      <c r="E29" s="25"/>
      <c r="F29" s="95"/>
      <c r="G29" s="96"/>
      <c r="H29" s="101"/>
    </row>
    <row r="30" spans="1:8" s="9" customFormat="1" ht="16.5" thickBot="1">
      <c r="A30" s="16"/>
      <c r="B30" s="59" t="s">
        <v>75</v>
      </c>
      <c r="C30" s="11">
        <f>C31+C40+C46</f>
        <v>48326000</v>
      </c>
      <c r="D30" s="15"/>
      <c r="E30" s="25"/>
      <c r="F30" s="95"/>
      <c r="G30" s="96"/>
      <c r="H30" s="101"/>
    </row>
    <row r="31" spans="1:8" s="9" customFormat="1" ht="32.25" thickTop="1">
      <c r="A31" s="60">
        <v>7</v>
      </c>
      <c r="B31" s="61" t="s">
        <v>76</v>
      </c>
      <c r="C31" s="48">
        <v>30328000</v>
      </c>
      <c r="D31" s="8" t="s">
        <v>77</v>
      </c>
      <c r="E31" s="25"/>
      <c r="F31" s="95"/>
      <c r="G31" s="96"/>
      <c r="H31" s="101"/>
    </row>
    <row r="32" spans="1:8" s="9" customFormat="1" ht="31.5">
      <c r="A32" s="44"/>
      <c r="B32" s="35" t="s">
        <v>78</v>
      </c>
      <c r="C32" s="53">
        <v>3737100</v>
      </c>
      <c r="D32" s="35" t="s">
        <v>80</v>
      </c>
      <c r="E32" s="25" t="s">
        <v>205</v>
      </c>
      <c r="F32" s="95" t="s">
        <v>206</v>
      </c>
      <c r="G32" s="96">
        <v>35336655</v>
      </c>
      <c r="H32" s="101" t="s">
        <v>208</v>
      </c>
    </row>
    <row r="33" spans="1:8" s="9" customFormat="1" ht="31.5">
      <c r="A33" s="44"/>
      <c r="B33" s="35" t="s">
        <v>81</v>
      </c>
      <c r="C33" s="53">
        <v>5186500</v>
      </c>
      <c r="D33" s="35" t="s">
        <v>83</v>
      </c>
      <c r="E33" s="25" t="s">
        <v>233</v>
      </c>
      <c r="F33" s="95" t="s">
        <v>234</v>
      </c>
      <c r="G33" s="96">
        <v>35336344</v>
      </c>
      <c r="H33" s="101" t="s">
        <v>237</v>
      </c>
    </row>
    <row r="34" spans="1:8" s="9" customFormat="1" ht="31.5">
      <c r="A34" s="44"/>
      <c r="B34" s="35" t="s">
        <v>84</v>
      </c>
      <c r="C34" s="53">
        <v>2050000</v>
      </c>
      <c r="D34" s="35" t="s">
        <v>83</v>
      </c>
      <c r="E34" s="25" t="s">
        <v>238</v>
      </c>
      <c r="F34" s="95" t="s">
        <v>235</v>
      </c>
      <c r="G34" s="96">
        <v>35336344</v>
      </c>
      <c r="H34" s="101" t="s">
        <v>236</v>
      </c>
    </row>
    <row r="35" spans="1:8" s="9" customFormat="1" ht="31.5">
      <c r="A35" s="44"/>
      <c r="B35" s="35" t="s">
        <v>86</v>
      </c>
      <c r="C35" s="53">
        <v>9367000</v>
      </c>
      <c r="D35" s="35" t="s">
        <v>88</v>
      </c>
      <c r="E35" s="25" t="s">
        <v>227</v>
      </c>
      <c r="F35" s="95" t="s">
        <v>228</v>
      </c>
      <c r="G35" s="96">
        <v>35345882</v>
      </c>
      <c r="H35" s="101" t="s">
        <v>229</v>
      </c>
    </row>
    <row r="36" spans="1:8" s="9" customFormat="1">
      <c r="A36" s="44"/>
      <c r="B36" s="35"/>
      <c r="C36" s="53"/>
      <c r="D36" s="35"/>
      <c r="E36" s="25" t="s">
        <v>230</v>
      </c>
      <c r="F36" s="95" t="s">
        <v>231</v>
      </c>
      <c r="G36" s="96">
        <v>35345882</v>
      </c>
      <c r="H36" s="101" t="s">
        <v>232</v>
      </c>
    </row>
    <row r="37" spans="1:8" s="9" customFormat="1" ht="31.5">
      <c r="A37" s="44"/>
      <c r="B37" s="35" t="s">
        <v>89</v>
      </c>
      <c r="C37" s="53">
        <v>8427400</v>
      </c>
      <c r="D37" s="35" t="s">
        <v>91</v>
      </c>
      <c r="E37" s="25" t="s">
        <v>202</v>
      </c>
      <c r="F37" s="95" t="s">
        <v>203</v>
      </c>
      <c r="G37" s="96">
        <v>35335592</v>
      </c>
      <c r="H37" s="101" t="s">
        <v>204</v>
      </c>
    </row>
    <row r="38" spans="1:8" s="9" customFormat="1" ht="31.5">
      <c r="A38" s="60"/>
      <c r="B38" s="35" t="s">
        <v>92</v>
      </c>
      <c r="C38" s="53">
        <v>1000000</v>
      </c>
      <c r="D38" s="35" t="s">
        <v>94</v>
      </c>
      <c r="E38" s="25" t="s">
        <v>207</v>
      </c>
      <c r="F38" s="95" t="s">
        <v>206</v>
      </c>
      <c r="G38" s="96">
        <v>35336656</v>
      </c>
      <c r="H38" s="101" t="s">
        <v>209</v>
      </c>
    </row>
    <row r="39" spans="1:8" s="9" customFormat="1" ht="31.5">
      <c r="A39" s="60"/>
      <c r="B39" s="25" t="s">
        <v>95</v>
      </c>
      <c r="C39" s="53">
        <v>560000</v>
      </c>
      <c r="D39" s="35" t="s">
        <v>97</v>
      </c>
      <c r="E39" s="25"/>
      <c r="F39" s="95"/>
      <c r="G39" s="96"/>
      <c r="H39" s="101"/>
    </row>
    <row r="40" spans="1:8" s="9" customFormat="1" ht="31.5">
      <c r="A40" s="44">
        <v>8</v>
      </c>
      <c r="B40" s="8" t="s">
        <v>98</v>
      </c>
      <c r="C40" s="53">
        <v>10758000</v>
      </c>
      <c r="D40" s="8" t="s">
        <v>99</v>
      </c>
      <c r="E40" s="25"/>
      <c r="F40" s="95"/>
      <c r="G40" s="96"/>
      <c r="H40" s="101"/>
    </row>
    <row r="41" spans="1:8" s="9" customFormat="1" ht="31.5">
      <c r="A41" s="44"/>
      <c r="B41" s="35" t="s">
        <v>100</v>
      </c>
      <c r="C41" s="53">
        <v>3760000</v>
      </c>
      <c r="D41" s="35" t="s">
        <v>102</v>
      </c>
      <c r="E41" s="25" t="s">
        <v>211</v>
      </c>
      <c r="F41" s="95" t="s">
        <v>212</v>
      </c>
      <c r="G41" s="96">
        <v>35243315</v>
      </c>
      <c r="H41" s="101" t="s">
        <v>210</v>
      </c>
    </row>
    <row r="42" spans="1:8" s="9" customFormat="1">
      <c r="A42" s="44"/>
      <c r="B42" s="35"/>
      <c r="C42" s="53"/>
      <c r="D42" s="35"/>
      <c r="E42" s="25" t="s">
        <v>214</v>
      </c>
      <c r="F42" s="95" t="s">
        <v>212</v>
      </c>
      <c r="G42" s="96">
        <v>35243702</v>
      </c>
      <c r="H42" s="101" t="s">
        <v>213</v>
      </c>
    </row>
    <row r="43" spans="1:8" s="9" customFormat="1" ht="31.5">
      <c r="A43" s="44"/>
      <c r="B43" s="35" t="s">
        <v>103</v>
      </c>
      <c r="C43" s="53">
        <v>3622000</v>
      </c>
      <c r="D43" s="35" t="s">
        <v>105</v>
      </c>
      <c r="E43" s="25"/>
      <c r="F43" s="95"/>
      <c r="G43" s="96"/>
      <c r="H43" s="101"/>
    </row>
    <row r="44" spans="1:8" s="9" customFormat="1" ht="31.5">
      <c r="A44" s="44"/>
      <c r="B44" s="35" t="s">
        <v>106</v>
      </c>
      <c r="C44" s="53">
        <v>1750000</v>
      </c>
      <c r="D44" s="35" t="s">
        <v>109</v>
      </c>
      <c r="E44" s="25"/>
      <c r="F44" s="95"/>
      <c r="G44" s="96"/>
      <c r="H44" s="101"/>
    </row>
    <row r="45" spans="1:8" s="9" customFormat="1" ht="47.25">
      <c r="A45" s="60"/>
      <c r="B45" s="35" t="s">
        <v>110</v>
      </c>
      <c r="C45" s="53">
        <v>1626000</v>
      </c>
      <c r="D45" s="35" t="s">
        <v>83</v>
      </c>
      <c r="E45" s="25" t="s">
        <v>239</v>
      </c>
      <c r="F45" s="95" t="s">
        <v>240</v>
      </c>
      <c r="G45" s="96">
        <v>35336344</v>
      </c>
      <c r="H45" s="101" t="s">
        <v>241</v>
      </c>
    </row>
    <row r="46" spans="1:8" s="9" customFormat="1" ht="47.25">
      <c r="A46" s="60">
        <v>9</v>
      </c>
      <c r="B46" s="8" t="s">
        <v>112</v>
      </c>
      <c r="C46" s="53">
        <v>7240000</v>
      </c>
      <c r="D46" s="8" t="s">
        <v>114</v>
      </c>
      <c r="E46" s="25"/>
      <c r="F46" s="95"/>
      <c r="G46" s="96"/>
      <c r="H46" s="101"/>
    </row>
    <row r="47" spans="1:8" s="9" customFormat="1" ht="47.25">
      <c r="A47" s="60"/>
      <c r="B47" s="35" t="s">
        <v>115</v>
      </c>
      <c r="C47" s="53">
        <v>5240000</v>
      </c>
      <c r="D47" s="35" t="s">
        <v>189</v>
      </c>
      <c r="E47" s="25"/>
      <c r="F47" s="95"/>
      <c r="G47" s="96"/>
      <c r="H47" s="101"/>
    </row>
    <row r="48" spans="1:8" s="9" customFormat="1" ht="31.5">
      <c r="A48" s="60"/>
      <c r="B48" s="35" t="s">
        <v>118</v>
      </c>
      <c r="C48" s="53">
        <v>2000000</v>
      </c>
      <c r="D48" s="35" t="s">
        <v>120</v>
      </c>
      <c r="E48" s="25"/>
      <c r="F48" s="95"/>
      <c r="G48" s="96"/>
      <c r="H48" s="101"/>
    </row>
    <row r="49" spans="1:8" s="9" customFormat="1">
      <c r="A49" s="60"/>
      <c r="B49" s="7"/>
      <c r="C49" s="66"/>
      <c r="D49" s="35"/>
      <c r="E49" s="25"/>
      <c r="F49" s="95"/>
      <c r="G49" s="96"/>
      <c r="H49" s="101"/>
    </row>
    <row r="50" spans="1:8" s="9" customFormat="1">
      <c r="A50" s="44"/>
      <c r="B50" s="182" t="s">
        <v>121</v>
      </c>
      <c r="C50" s="183"/>
      <c r="D50" s="67"/>
      <c r="E50" s="25"/>
      <c r="F50" s="95"/>
      <c r="G50" s="96"/>
      <c r="H50" s="101"/>
    </row>
    <row r="51" spans="1:8" s="9" customFormat="1">
      <c r="A51" s="44"/>
      <c r="B51" s="10" t="s">
        <v>122</v>
      </c>
      <c r="C51" s="68">
        <f>C52+C77</f>
        <v>60928200</v>
      </c>
      <c r="D51" s="67"/>
      <c r="E51" s="25"/>
      <c r="F51" s="95"/>
      <c r="G51" s="96"/>
      <c r="H51" s="101"/>
    </row>
    <row r="52" spans="1:8" s="70" customFormat="1">
      <c r="A52" s="16">
        <v>10</v>
      </c>
      <c r="B52" s="8" t="s">
        <v>123</v>
      </c>
      <c r="C52" s="26">
        <v>51328200</v>
      </c>
      <c r="D52" s="38"/>
      <c r="E52" s="22"/>
      <c r="F52" s="97"/>
      <c r="G52" s="98"/>
      <c r="H52" s="99"/>
    </row>
    <row r="53" spans="1:8" s="70" customFormat="1">
      <c r="A53" s="16"/>
      <c r="B53" s="8" t="s">
        <v>124</v>
      </c>
      <c r="C53" s="53">
        <v>20817800</v>
      </c>
      <c r="D53" s="8"/>
      <c r="E53" s="22"/>
      <c r="F53" s="97"/>
      <c r="G53" s="98"/>
      <c r="H53" s="99"/>
    </row>
    <row r="54" spans="1:8" s="70" customFormat="1" ht="31.5">
      <c r="A54" s="16"/>
      <c r="B54" s="71" t="s">
        <v>125</v>
      </c>
      <c r="C54" s="53">
        <f>C55</f>
        <v>16000000</v>
      </c>
      <c r="D54" s="8"/>
      <c r="E54" s="22"/>
      <c r="F54" s="97"/>
      <c r="G54" s="98"/>
      <c r="H54" s="99"/>
    </row>
    <row r="55" spans="1:8" s="9" customFormat="1" ht="47.25">
      <c r="A55" s="16"/>
      <c r="B55" s="72" t="s">
        <v>126</v>
      </c>
      <c r="C55" s="53">
        <v>16000000</v>
      </c>
      <c r="D55" s="73" t="s">
        <v>128</v>
      </c>
      <c r="E55" s="25"/>
      <c r="F55" s="95"/>
      <c r="G55" s="96"/>
      <c r="H55" s="101"/>
    </row>
    <row r="56" spans="1:8" s="9" customFormat="1" ht="31.5">
      <c r="A56" s="16"/>
      <c r="B56" s="71" t="s">
        <v>129</v>
      </c>
      <c r="C56" s="53">
        <f>SUM(C57:C59)</f>
        <v>4817800</v>
      </c>
      <c r="D56" s="73"/>
      <c r="E56" s="25"/>
      <c r="F56" s="95"/>
      <c r="G56" s="96"/>
      <c r="H56" s="101"/>
    </row>
    <row r="57" spans="1:8" s="9" customFormat="1" ht="47.25">
      <c r="A57" s="16"/>
      <c r="B57" s="72" t="s">
        <v>130</v>
      </c>
      <c r="C57" s="53">
        <v>2487800</v>
      </c>
      <c r="D57" s="72" t="s">
        <v>132</v>
      </c>
      <c r="E57" s="25"/>
      <c r="F57" s="95"/>
      <c r="G57" s="96"/>
      <c r="H57" s="101"/>
    </row>
    <row r="58" spans="1:8" s="9" customFormat="1" ht="47.25">
      <c r="A58" s="16"/>
      <c r="B58" s="72" t="s">
        <v>133</v>
      </c>
      <c r="C58" s="53">
        <v>500000</v>
      </c>
      <c r="D58" s="72" t="s">
        <v>132</v>
      </c>
      <c r="E58" s="25"/>
      <c r="F58" s="95"/>
      <c r="G58" s="96"/>
      <c r="H58" s="101"/>
    </row>
    <row r="59" spans="1:8" s="9" customFormat="1">
      <c r="A59" s="16"/>
      <c r="B59" s="74" t="s">
        <v>135</v>
      </c>
      <c r="C59" s="53">
        <v>1830000</v>
      </c>
      <c r="D59" s="72" t="s">
        <v>137</v>
      </c>
      <c r="E59" s="25"/>
      <c r="F59" s="95"/>
      <c r="G59" s="96"/>
      <c r="H59" s="101"/>
    </row>
    <row r="60" spans="1:8" s="9" customFormat="1" ht="31.5">
      <c r="A60" s="16"/>
      <c r="B60" s="71" t="s">
        <v>138</v>
      </c>
      <c r="C60" s="30">
        <f>C61+C62+C63</f>
        <v>13800000</v>
      </c>
      <c r="D60" s="72"/>
      <c r="E60" s="25"/>
      <c r="F60" s="95"/>
      <c r="G60" s="96"/>
      <c r="H60" s="101"/>
    </row>
    <row r="61" spans="1:8" s="9" customFormat="1" ht="47.25">
      <c r="A61" s="16"/>
      <c r="B61" s="72" t="s">
        <v>139</v>
      </c>
      <c r="C61" s="53">
        <v>8000000</v>
      </c>
      <c r="D61" s="72" t="s">
        <v>141</v>
      </c>
      <c r="E61" s="25"/>
      <c r="F61" s="95"/>
      <c r="G61" s="96"/>
      <c r="H61" s="101"/>
    </row>
    <row r="62" spans="1:8" s="9" customFormat="1">
      <c r="A62" s="16"/>
      <c r="B62" s="72" t="s">
        <v>142</v>
      </c>
      <c r="C62" s="53">
        <v>4800000</v>
      </c>
      <c r="D62" s="72" t="s">
        <v>144</v>
      </c>
      <c r="E62" s="25"/>
      <c r="F62" s="95"/>
      <c r="G62" s="96"/>
      <c r="H62" s="101"/>
    </row>
    <row r="63" spans="1:8" s="9" customFormat="1" ht="31.5">
      <c r="A63" s="75"/>
      <c r="B63" s="72" t="s">
        <v>145</v>
      </c>
      <c r="C63" s="53">
        <v>1000000</v>
      </c>
      <c r="D63" s="72" t="s">
        <v>147</v>
      </c>
      <c r="E63" s="25"/>
      <c r="F63" s="95"/>
      <c r="G63" s="96"/>
      <c r="H63" s="101"/>
    </row>
    <row r="64" spans="1:8" s="9" customFormat="1" ht="31.5">
      <c r="A64" s="75"/>
      <c r="B64" s="71" t="s">
        <v>148</v>
      </c>
      <c r="C64" s="53">
        <f>C65+C67+C68</f>
        <v>6288000</v>
      </c>
      <c r="D64" s="72"/>
      <c r="E64" s="25"/>
      <c r="F64" s="95"/>
      <c r="G64" s="96"/>
      <c r="H64" s="101"/>
    </row>
    <row r="65" spans="1:8" s="9" customFormat="1" ht="47.25">
      <c r="A65" s="75"/>
      <c r="B65" s="76" t="s">
        <v>149</v>
      </c>
      <c r="C65" s="77">
        <v>1400000</v>
      </c>
      <c r="D65" s="72" t="s">
        <v>151</v>
      </c>
      <c r="E65" s="25" t="s">
        <v>267</v>
      </c>
      <c r="F65" s="95" t="s">
        <v>268</v>
      </c>
      <c r="G65" s="96">
        <v>35336551</v>
      </c>
      <c r="H65" s="101" t="s">
        <v>270</v>
      </c>
    </row>
    <row r="66" spans="1:8" s="9" customFormat="1">
      <c r="A66" s="75"/>
      <c r="B66" s="76"/>
      <c r="C66" s="77"/>
      <c r="D66" s="72"/>
      <c r="E66" s="25" t="s">
        <v>269</v>
      </c>
      <c r="F66" s="95" t="s">
        <v>268</v>
      </c>
      <c r="G66" s="96">
        <v>35336551</v>
      </c>
      <c r="H66" s="101" t="s">
        <v>271</v>
      </c>
    </row>
    <row r="67" spans="1:8" s="9" customFormat="1" ht="31.5">
      <c r="A67" s="75"/>
      <c r="B67" s="74" t="s">
        <v>152</v>
      </c>
      <c r="C67" s="66">
        <v>2861000</v>
      </c>
      <c r="D67" s="72" t="s">
        <v>154</v>
      </c>
      <c r="E67" s="25" t="s">
        <v>190</v>
      </c>
      <c r="F67" s="95" t="s">
        <v>191</v>
      </c>
      <c r="G67" s="96">
        <v>35360208</v>
      </c>
      <c r="H67" s="101" t="s">
        <v>199</v>
      </c>
    </row>
    <row r="68" spans="1:8" s="70" customFormat="1" ht="31.5">
      <c r="A68" s="75"/>
      <c r="B68" s="79" t="s">
        <v>155</v>
      </c>
      <c r="C68" s="66">
        <v>2027000</v>
      </c>
      <c r="D68" s="72" t="s">
        <v>157</v>
      </c>
      <c r="E68" s="22"/>
      <c r="F68" s="97"/>
      <c r="G68" s="98"/>
      <c r="H68" s="99"/>
    </row>
    <row r="69" spans="1:8" s="70" customFormat="1" ht="47.25">
      <c r="A69" s="75"/>
      <c r="B69" s="80" t="s">
        <v>158</v>
      </c>
      <c r="C69" s="53">
        <f>C70+C71+C72+C73+C74</f>
        <v>5297100</v>
      </c>
      <c r="D69" s="72"/>
      <c r="E69" s="22"/>
      <c r="F69" s="97"/>
      <c r="G69" s="98"/>
      <c r="H69" s="99"/>
    </row>
    <row r="70" spans="1:8" s="70" customFormat="1" ht="47.25">
      <c r="A70" s="75"/>
      <c r="B70" s="79" t="s">
        <v>159</v>
      </c>
      <c r="C70" s="53">
        <v>3160000</v>
      </c>
      <c r="D70" s="72" t="s">
        <v>161</v>
      </c>
      <c r="E70" s="25" t="s">
        <v>196</v>
      </c>
      <c r="F70" s="95" t="s">
        <v>197</v>
      </c>
      <c r="G70" s="96" t="s">
        <v>198</v>
      </c>
      <c r="H70" s="101" t="s">
        <v>200</v>
      </c>
    </row>
    <row r="71" spans="1:8" s="9" customFormat="1" ht="31.5">
      <c r="A71" s="75"/>
      <c r="B71" s="79" t="s">
        <v>162</v>
      </c>
      <c r="C71" s="53">
        <v>740000</v>
      </c>
      <c r="D71" s="72" t="s">
        <v>164</v>
      </c>
      <c r="E71" s="25"/>
      <c r="F71" s="95"/>
      <c r="G71" s="96"/>
      <c r="H71" s="101"/>
    </row>
    <row r="72" spans="1:8" s="9" customFormat="1" ht="31.5">
      <c r="A72" s="75"/>
      <c r="B72" s="79" t="s">
        <v>165</v>
      </c>
      <c r="C72" s="53">
        <v>500000</v>
      </c>
      <c r="D72" s="72" t="s">
        <v>167</v>
      </c>
      <c r="E72" s="25" t="s">
        <v>196</v>
      </c>
      <c r="F72" s="95" t="s">
        <v>197</v>
      </c>
      <c r="G72" s="96" t="s">
        <v>198</v>
      </c>
      <c r="H72" s="101" t="s">
        <v>200</v>
      </c>
    </row>
    <row r="73" spans="1:8" s="9" customFormat="1" ht="63">
      <c r="A73" s="75"/>
      <c r="B73" s="79" t="s">
        <v>168</v>
      </c>
      <c r="C73" s="53">
        <v>600000</v>
      </c>
      <c r="D73" s="72" t="s">
        <v>170</v>
      </c>
      <c r="E73" s="25"/>
      <c r="F73" s="95"/>
      <c r="G73" s="96"/>
      <c r="H73" s="101"/>
    </row>
    <row r="74" spans="1:8" s="9" customFormat="1" ht="31.5">
      <c r="A74" s="75"/>
      <c r="B74" s="79" t="s">
        <v>171</v>
      </c>
      <c r="C74" s="53">
        <v>297100</v>
      </c>
      <c r="D74" s="72" t="s">
        <v>97</v>
      </c>
      <c r="E74" s="25"/>
      <c r="F74" s="95"/>
      <c r="G74" s="96"/>
      <c r="H74" s="101"/>
    </row>
    <row r="75" spans="1:8" s="70" customFormat="1" ht="31.5">
      <c r="A75" s="75"/>
      <c r="B75" s="80" t="s">
        <v>173</v>
      </c>
      <c r="C75" s="53">
        <v>5125300</v>
      </c>
      <c r="D75" s="71"/>
      <c r="E75" s="22"/>
      <c r="F75" s="97"/>
      <c r="G75" s="98"/>
      <c r="H75" s="99"/>
    </row>
    <row r="76" spans="1:8" s="70" customFormat="1" ht="31.5">
      <c r="A76" s="75"/>
      <c r="B76" s="79" t="s">
        <v>174</v>
      </c>
      <c r="C76" s="53">
        <v>5125300</v>
      </c>
      <c r="D76" s="72" t="s">
        <v>53</v>
      </c>
      <c r="E76" s="22"/>
      <c r="F76" s="97"/>
      <c r="G76" s="98"/>
      <c r="H76" s="99"/>
    </row>
    <row r="77" spans="1:8" s="9" customFormat="1" ht="31.5">
      <c r="A77" s="75">
        <v>11</v>
      </c>
      <c r="B77" s="81" t="s">
        <v>176</v>
      </c>
      <c r="C77" s="53">
        <v>9600000</v>
      </c>
      <c r="D77" s="81" t="s">
        <v>128</v>
      </c>
      <c r="E77" s="25"/>
      <c r="F77" s="95"/>
      <c r="G77" s="96"/>
      <c r="H77" s="101"/>
    </row>
    <row r="78" spans="1:8" s="70" customFormat="1" ht="31.5">
      <c r="A78" s="75">
        <v>12</v>
      </c>
      <c r="B78" s="22" t="s">
        <v>178</v>
      </c>
      <c r="C78" s="53">
        <v>10000000</v>
      </c>
      <c r="D78" s="22" t="s">
        <v>181</v>
      </c>
      <c r="E78" s="22"/>
      <c r="F78" s="97"/>
      <c r="G78" s="98"/>
      <c r="H78" s="99"/>
    </row>
    <row r="79" spans="1:8" s="70" customFormat="1">
      <c r="A79" s="75"/>
      <c r="B79" s="22" t="s">
        <v>182</v>
      </c>
      <c r="C79" s="53">
        <v>206607100</v>
      </c>
      <c r="D79" s="68" t="s">
        <v>107</v>
      </c>
      <c r="E79" s="22"/>
      <c r="F79" s="97"/>
      <c r="G79" s="98"/>
      <c r="H79" s="99"/>
    </row>
    <row r="80" spans="1:8" s="9" customFormat="1">
      <c r="A80" s="85"/>
      <c r="B80" s="86"/>
      <c r="C80" s="87"/>
      <c r="D80" s="86"/>
      <c r="F80" s="111"/>
      <c r="G80" s="108"/>
      <c r="H80" s="104"/>
    </row>
    <row r="81" spans="1:8" s="9" customFormat="1">
      <c r="A81" s="89"/>
      <c r="C81" s="77"/>
      <c r="F81" s="111"/>
      <c r="G81" s="108"/>
      <c r="H81" s="104"/>
    </row>
  </sheetData>
  <mergeCells count="8">
    <mergeCell ref="B4:C4"/>
    <mergeCell ref="B24:D24"/>
    <mergeCell ref="B29:C29"/>
    <mergeCell ref="B50:C50"/>
    <mergeCell ref="A1:D1"/>
    <mergeCell ref="A2:A3"/>
    <mergeCell ref="B2:B3"/>
    <mergeCell ref="C2:C3"/>
  </mergeCells>
  <pageMargins left="0.15748031496062992" right="0.15748031496062992" top="0.16" bottom="0.16" header="0.51181102362204722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50"/>
  </sheetPr>
  <dimension ref="A1:G74"/>
  <sheetViews>
    <sheetView tabSelected="1" view="pageBreakPreview" zoomScaleSheetLayoutView="10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F8" sqref="F8"/>
    </sheetView>
  </sheetViews>
  <sheetFormatPr defaultRowHeight="21"/>
  <cols>
    <col min="1" max="1" width="4.42578125" style="154" customWidth="1"/>
    <col min="2" max="2" width="52.85546875" style="114" customWidth="1"/>
    <col min="3" max="3" width="14.28515625" style="145" customWidth="1"/>
    <col min="4" max="4" width="37" style="149" customWidth="1"/>
    <col min="5" max="5" width="14.28515625" style="162" customWidth="1"/>
    <col min="6" max="6" width="15.7109375" style="167" customWidth="1"/>
    <col min="7" max="7" width="17.7109375" style="162" customWidth="1"/>
    <col min="8" max="16384" width="9.140625" style="114"/>
  </cols>
  <sheetData>
    <row r="1" spans="1:7">
      <c r="A1" s="197" t="s">
        <v>0</v>
      </c>
      <c r="B1" s="197"/>
      <c r="C1" s="197"/>
      <c r="D1" s="197"/>
      <c r="E1" s="197"/>
      <c r="F1" s="197"/>
      <c r="G1" s="197"/>
    </row>
    <row r="2" spans="1:7">
      <c r="A2" s="203" t="s">
        <v>1</v>
      </c>
      <c r="B2" s="205" t="s">
        <v>2</v>
      </c>
      <c r="C2" s="207" t="s">
        <v>184</v>
      </c>
      <c r="D2" s="205" t="s">
        <v>6</v>
      </c>
      <c r="E2" s="201" t="s">
        <v>242</v>
      </c>
      <c r="F2" s="202" t="s">
        <v>243</v>
      </c>
      <c r="G2" s="201" t="s">
        <v>244</v>
      </c>
    </row>
    <row r="3" spans="1:7">
      <c r="A3" s="204"/>
      <c r="B3" s="206"/>
      <c r="C3" s="208"/>
      <c r="D3" s="206"/>
      <c r="E3" s="201"/>
      <c r="F3" s="202"/>
      <c r="G3" s="201"/>
    </row>
    <row r="4" spans="1:7" s="118" customFormat="1" ht="21" customHeight="1">
      <c r="A4" s="180"/>
      <c r="B4" s="198" t="s">
        <v>14</v>
      </c>
      <c r="C4" s="199"/>
      <c r="D4" s="199"/>
      <c r="E4" s="199"/>
      <c r="F4" s="199"/>
      <c r="G4" s="200"/>
    </row>
    <row r="5" spans="1:7" s="118" customFormat="1">
      <c r="A5" s="150"/>
      <c r="B5" s="119" t="s">
        <v>15</v>
      </c>
      <c r="C5" s="115">
        <f>C6+C11+C14</f>
        <v>67352900</v>
      </c>
      <c r="D5" s="121"/>
      <c r="E5" s="159"/>
      <c r="F5" s="163"/>
      <c r="G5" s="159"/>
    </row>
    <row r="6" spans="1:7" s="125" customFormat="1">
      <c r="A6" s="151">
        <v>1</v>
      </c>
      <c r="B6" s="116" t="s">
        <v>16</v>
      </c>
      <c r="C6" s="122">
        <v>16674600</v>
      </c>
      <c r="D6" s="123" t="s">
        <v>18</v>
      </c>
      <c r="E6" s="160"/>
      <c r="F6" s="164"/>
      <c r="G6" s="168">
        <f t="shared" ref="G6:G69" si="0">C6-F6</f>
        <v>16674600</v>
      </c>
    </row>
    <row r="7" spans="1:7" s="125" customFormat="1">
      <c r="A7" s="152"/>
      <c r="B7" s="117" t="s">
        <v>19</v>
      </c>
      <c r="C7" s="126">
        <v>5000000</v>
      </c>
      <c r="D7" s="117" t="s">
        <v>192</v>
      </c>
      <c r="E7" s="160"/>
      <c r="F7" s="164"/>
      <c r="G7" s="168">
        <f t="shared" si="0"/>
        <v>5000000</v>
      </c>
    </row>
    <row r="8" spans="1:7" s="125" customFormat="1" ht="42">
      <c r="A8" s="152"/>
      <c r="B8" s="117" t="s">
        <v>21</v>
      </c>
      <c r="C8" s="126">
        <v>74600</v>
      </c>
      <c r="D8" s="117" t="s">
        <v>23</v>
      </c>
      <c r="E8" s="160"/>
      <c r="F8" s="164"/>
      <c r="G8" s="168">
        <f t="shared" si="0"/>
        <v>74600</v>
      </c>
    </row>
    <row r="9" spans="1:7" s="125" customFormat="1">
      <c r="A9" s="152"/>
      <c r="B9" s="117" t="s">
        <v>24</v>
      </c>
      <c r="C9" s="126">
        <v>2600000</v>
      </c>
      <c r="D9" s="117" t="s">
        <v>26</v>
      </c>
      <c r="E9" s="160"/>
      <c r="F9" s="164"/>
      <c r="G9" s="168">
        <f t="shared" si="0"/>
        <v>2600000</v>
      </c>
    </row>
    <row r="10" spans="1:7" s="125" customFormat="1" ht="42">
      <c r="A10" s="152"/>
      <c r="B10" s="117" t="s">
        <v>27</v>
      </c>
      <c r="C10" s="126">
        <v>9000000</v>
      </c>
      <c r="D10" s="117" t="s">
        <v>245</v>
      </c>
      <c r="E10" s="160"/>
      <c r="F10" s="164"/>
      <c r="G10" s="168">
        <f t="shared" si="0"/>
        <v>9000000</v>
      </c>
    </row>
    <row r="11" spans="1:7" s="125" customFormat="1" ht="42">
      <c r="A11" s="151">
        <v>2</v>
      </c>
      <c r="B11" s="116" t="s">
        <v>30</v>
      </c>
      <c r="C11" s="126">
        <v>16708300</v>
      </c>
      <c r="D11" s="123" t="s">
        <v>32</v>
      </c>
      <c r="E11" s="160"/>
      <c r="F11" s="164"/>
      <c r="G11" s="168">
        <f t="shared" si="0"/>
        <v>16708300</v>
      </c>
    </row>
    <row r="12" spans="1:7" s="125" customFormat="1" ht="42">
      <c r="A12" s="152"/>
      <c r="B12" s="117" t="s">
        <v>247</v>
      </c>
      <c r="C12" s="126">
        <v>13710000</v>
      </c>
      <c r="D12" s="124" t="s">
        <v>246</v>
      </c>
      <c r="E12" s="161" t="s">
        <v>300</v>
      </c>
      <c r="F12" s="164"/>
      <c r="G12" s="168">
        <f t="shared" si="0"/>
        <v>13710000</v>
      </c>
    </row>
    <row r="13" spans="1:7" s="125" customFormat="1" ht="42">
      <c r="A13" s="152"/>
      <c r="B13" s="117" t="s">
        <v>248</v>
      </c>
      <c r="C13" s="126">
        <v>2998300</v>
      </c>
      <c r="D13" s="117" t="s">
        <v>26</v>
      </c>
      <c r="E13" s="160"/>
      <c r="F13" s="164"/>
      <c r="G13" s="168">
        <f t="shared" si="0"/>
        <v>2998300</v>
      </c>
    </row>
    <row r="14" spans="1:7" s="128" customFormat="1">
      <c r="A14" s="151">
        <v>3</v>
      </c>
      <c r="B14" s="116" t="s">
        <v>40</v>
      </c>
      <c r="C14" s="126">
        <v>33970000</v>
      </c>
      <c r="D14" s="123" t="s">
        <v>18</v>
      </c>
      <c r="E14" s="137"/>
      <c r="F14" s="165"/>
      <c r="G14" s="168">
        <f t="shared" si="0"/>
        <v>33970000</v>
      </c>
    </row>
    <row r="15" spans="1:7" s="125" customFormat="1">
      <c r="A15" s="152"/>
      <c r="B15" s="124" t="s">
        <v>251</v>
      </c>
      <c r="C15" s="126">
        <v>4970000</v>
      </c>
      <c r="D15" s="124" t="s">
        <v>249</v>
      </c>
      <c r="E15" s="160"/>
      <c r="F15" s="164"/>
      <c r="G15" s="168">
        <f t="shared" si="0"/>
        <v>4970000</v>
      </c>
    </row>
    <row r="16" spans="1:7" s="125" customFormat="1">
      <c r="A16" s="152"/>
      <c r="B16" s="117" t="s">
        <v>252</v>
      </c>
      <c r="C16" s="126">
        <v>12000000</v>
      </c>
      <c r="D16" s="124" t="s">
        <v>250</v>
      </c>
      <c r="E16" s="160"/>
      <c r="F16" s="164"/>
      <c r="G16" s="168">
        <f t="shared" si="0"/>
        <v>12000000</v>
      </c>
    </row>
    <row r="17" spans="1:7" s="125" customFormat="1">
      <c r="A17" s="152"/>
      <c r="B17" s="117" t="s">
        <v>253</v>
      </c>
      <c r="C17" s="126">
        <v>3000000</v>
      </c>
      <c r="D17" s="124" t="s">
        <v>50</v>
      </c>
      <c r="E17" s="160"/>
      <c r="F17" s="164"/>
      <c r="G17" s="168">
        <f t="shared" si="0"/>
        <v>3000000</v>
      </c>
    </row>
    <row r="18" spans="1:7" s="125" customFormat="1" ht="42">
      <c r="A18" s="152"/>
      <c r="B18" s="117" t="s">
        <v>254</v>
      </c>
      <c r="C18" s="126">
        <v>4500000</v>
      </c>
      <c r="D18" s="124" t="s">
        <v>53</v>
      </c>
      <c r="E18" s="160"/>
      <c r="F18" s="164"/>
      <c r="G18" s="168">
        <f t="shared" si="0"/>
        <v>4500000</v>
      </c>
    </row>
    <row r="19" spans="1:7" s="125" customFormat="1">
      <c r="A19" s="152"/>
      <c r="B19" s="117" t="s">
        <v>255</v>
      </c>
      <c r="C19" s="129">
        <v>4000000</v>
      </c>
      <c r="D19" s="124" t="s">
        <v>56</v>
      </c>
      <c r="E19" s="160"/>
      <c r="F19" s="164"/>
      <c r="G19" s="168">
        <f t="shared" si="0"/>
        <v>4000000</v>
      </c>
    </row>
    <row r="20" spans="1:7" s="125" customFormat="1" ht="42">
      <c r="A20" s="152"/>
      <c r="B20" s="155" t="s">
        <v>256</v>
      </c>
      <c r="C20" s="126">
        <v>2000000</v>
      </c>
      <c r="D20" s="124" t="s">
        <v>59</v>
      </c>
      <c r="E20" s="160"/>
      <c r="F20" s="164"/>
      <c r="G20" s="168">
        <f t="shared" si="0"/>
        <v>2000000</v>
      </c>
    </row>
    <row r="21" spans="1:7" s="125" customFormat="1">
      <c r="A21" s="152"/>
      <c r="B21" s="117" t="s">
        <v>257</v>
      </c>
      <c r="C21" s="126">
        <v>500000</v>
      </c>
      <c r="D21" s="124" t="s">
        <v>62</v>
      </c>
      <c r="E21" s="160"/>
      <c r="F21" s="164"/>
      <c r="G21" s="168">
        <f t="shared" si="0"/>
        <v>500000</v>
      </c>
    </row>
    <row r="22" spans="1:7" s="125" customFormat="1" ht="42">
      <c r="A22" s="152"/>
      <c r="B22" s="117" t="s">
        <v>258</v>
      </c>
      <c r="C22" s="126">
        <v>3000000</v>
      </c>
      <c r="D22" s="124" t="s">
        <v>65</v>
      </c>
      <c r="E22" s="160"/>
      <c r="F22" s="164"/>
      <c r="G22" s="168">
        <f t="shared" si="0"/>
        <v>3000000</v>
      </c>
    </row>
    <row r="23" spans="1:7" s="125" customFormat="1">
      <c r="A23" s="181"/>
      <c r="B23" s="198" t="s">
        <v>259</v>
      </c>
      <c r="C23" s="199"/>
      <c r="D23" s="199"/>
      <c r="E23" s="199"/>
      <c r="F23" s="199"/>
      <c r="G23" s="200"/>
    </row>
    <row r="24" spans="1:7" s="125" customFormat="1">
      <c r="A24" s="151"/>
      <c r="B24" s="121" t="s">
        <v>67</v>
      </c>
      <c r="C24" s="130">
        <f>C25+C26</f>
        <v>20000000</v>
      </c>
      <c r="D24" s="121"/>
      <c r="E24" s="160"/>
      <c r="F24" s="164"/>
      <c r="G24" s="168">
        <f t="shared" si="0"/>
        <v>20000000</v>
      </c>
    </row>
    <row r="25" spans="1:7" s="118" customFormat="1" ht="42">
      <c r="A25" s="153">
        <v>4</v>
      </c>
      <c r="B25" s="131" t="s">
        <v>68</v>
      </c>
      <c r="C25" s="132">
        <v>5000000</v>
      </c>
      <c r="D25" s="124" t="s">
        <v>260</v>
      </c>
      <c r="E25" s="159"/>
      <c r="F25" s="163"/>
      <c r="G25" s="168">
        <f t="shared" si="0"/>
        <v>5000000</v>
      </c>
    </row>
    <row r="26" spans="1:7" s="118" customFormat="1" ht="42">
      <c r="A26" s="151">
        <v>5</v>
      </c>
      <c r="B26" s="123" t="s">
        <v>71</v>
      </c>
      <c r="C26" s="133">
        <v>15000000</v>
      </c>
      <c r="D26" s="116" t="s">
        <v>73</v>
      </c>
      <c r="E26" s="159"/>
      <c r="F26" s="163"/>
      <c r="G26" s="168">
        <f t="shared" si="0"/>
        <v>15000000</v>
      </c>
    </row>
    <row r="27" spans="1:7" s="118" customFormat="1" ht="21" customHeight="1">
      <c r="A27" s="181"/>
      <c r="B27" s="198" t="s">
        <v>261</v>
      </c>
      <c r="C27" s="199"/>
      <c r="D27" s="199"/>
      <c r="E27" s="199"/>
      <c r="F27" s="199"/>
      <c r="G27" s="200"/>
    </row>
    <row r="28" spans="1:7" s="118" customFormat="1" ht="21.75" thickBot="1">
      <c r="A28" s="151"/>
      <c r="B28" s="134" t="s">
        <v>75</v>
      </c>
      <c r="C28" s="120">
        <f>C29+C37+C42</f>
        <v>48326000</v>
      </c>
      <c r="D28" s="121"/>
      <c r="E28" s="159"/>
      <c r="F28" s="163"/>
      <c r="G28" s="168">
        <f t="shared" si="0"/>
        <v>48326000</v>
      </c>
    </row>
    <row r="29" spans="1:7" s="118" customFormat="1" ht="42.75" thickTop="1">
      <c r="A29" s="151">
        <v>6</v>
      </c>
      <c r="B29" s="135" t="s">
        <v>76</v>
      </c>
      <c r="C29" s="132">
        <v>30328000</v>
      </c>
      <c r="D29" s="116" t="s">
        <v>77</v>
      </c>
      <c r="E29" s="159"/>
      <c r="F29" s="163"/>
      <c r="G29" s="168">
        <f t="shared" si="0"/>
        <v>30328000</v>
      </c>
    </row>
    <row r="30" spans="1:7" s="118" customFormat="1">
      <c r="A30" s="151"/>
      <c r="B30" s="124" t="s">
        <v>273</v>
      </c>
      <c r="C30" s="133">
        <v>3737100</v>
      </c>
      <c r="D30" s="124" t="s">
        <v>80</v>
      </c>
      <c r="E30" s="159"/>
      <c r="F30" s="163"/>
      <c r="G30" s="168">
        <f t="shared" si="0"/>
        <v>3737100</v>
      </c>
    </row>
    <row r="31" spans="1:7" s="118" customFormat="1">
      <c r="A31" s="151"/>
      <c r="B31" s="124" t="s">
        <v>274</v>
      </c>
      <c r="C31" s="133">
        <v>5186500</v>
      </c>
      <c r="D31" s="124" t="s">
        <v>83</v>
      </c>
      <c r="E31" s="159"/>
      <c r="F31" s="163"/>
      <c r="G31" s="168">
        <f t="shared" si="0"/>
        <v>5186500</v>
      </c>
    </row>
    <row r="32" spans="1:7" s="118" customFormat="1" ht="42">
      <c r="A32" s="151"/>
      <c r="B32" s="124" t="s">
        <v>275</v>
      </c>
      <c r="C32" s="133">
        <v>2050000</v>
      </c>
      <c r="D32" s="124" t="s">
        <v>83</v>
      </c>
      <c r="E32" s="159"/>
      <c r="F32" s="163"/>
      <c r="G32" s="168">
        <f t="shared" si="0"/>
        <v>2050000</v>
      </c>
    </row>
    <row r="33" spans="1:7" s="118" customFormat="1">
      <c r="A33" s="151"/>
      <c r="B33" s="124" t="s">
        <v>276</v>
      </c>
      <c r="C33" s="133">
        <v>9367000</v>
      </c>
      <c r="D33" s="124" t="s">
        <v>88</v>
      </c>
      <c r="E33" s="159"/>
      <c r="F33" s="163"/>
      <c r="G33" s="168">
        <f t="shared" si="0"/>
        <v>9367000</v>
      </c>
    </row>
    <row r="34" spans="1:7" s="118" customFormat="1">
      <c r="A34" s="151"/>
      <c r="B34" s="124" t="s">
        <v>277</v>
      </c>
      <c r="C34" s="133">
        <v>8427400</v>
      </c>
      <c r="D34" s="124" t="s">
        <v>91</v>
      </c>
      <c r="E34" s="159"/>
      <c r="F34" s="163"/>
      <c r="G34" s="168">
        <f t="shared" si="0"/>
        <v>8427400</v>
      </c>
    </row>
    <row r="35" spans="1:7" s="118" customFormat="1" ht="42">
      <c r="A35" s="151"/>
      <c r="B35" s="124" t="s">
        <v>278</v>
      </c>
      <c r="C35" s="133">
        <v>1000000</v>
      </c>
      <c r="D35" s="124" t="s">
        <v>94</v>
      </c>
      <c r="E35" s="159"/>
      <c r="F35" s="163"/>
      <c r="G35" s="168">
        <f t="shared" si="0"/>
        <v>1000000</v>
      </c>
    </row>
    <row r="36" spans="1:7" s="118" customFormat="1">
      <c r="A36" s="151"/>
      <c r="B36" s="117" t="s">
        <v>279</v>
      </c>
      <c r="C36" s="133">
        <v>560000</v>
      </c>
      <c r="D36" s="124" t="s">
        <v>97</v>
      </c>
      <c r="E36" s="159"/>
      <c r="F36" s="163"/>
      <c r="G36" s="168">
        <f t="shared" si="0"/>
        <v>560000</v>
      </c>
    </row>
    <row r="37" spans="1:7" s="118" customFormat="1" ht="42">
      <c r="A37" s="151">
        <v>7</v>
      </c>
      <c r="B37" s="116" t="s">
        <v>262</v>
      </c>
      <c r="C37" s="133">
        <v>10758000</v>
      </c>
      <c r="D37" s="116" t="s">
        <v>99</v>
      </c>
      <c r="E37" s="159"/>
      <c r="F37" s="163"/>
      <c r="G37" s="168">
        <f t="shared" si="0"/>
        <v>10758000</v>
      </c>
    </row>
    <row r="38" spans="1:7" s="118" customFormat="1" ht="42">
      <c r="A38" s="151"/>
      <c r="B38" s="124" t="s">
        <v>280</v>
      </c>
      <c r="C38" s="133">
        <v>3760000</v>
      </c>
      <c r="D38" s="124" t="s">
        <v>102</v>
      </c>
      <c r="E38" s="159"/>
      <c r="F38" s="163"/>
      <c r="G38" s="168">
        <f t="shared" si="0"/>
        <v>3760000</v>
      </c>
    </row>
    <row r="39" spans="1:7" s="118" customFormat="1">
      <c r="A39" s="151"/>
      <c r="B39" s="124" t="s">
        <v>281</v>
      </c>
      <c r="C39" s="133">
        <v>3622000</v>
      </c>
      <c r="D39" s="124" t="s">
        <v>105</v>
      </c>
      <c r="E39" s="159"/>
      <c r="F39" s="163"/>
      <c r="G39" s="168">
        <f t="shared" si="0"/>
        <v>3622000</v>
      </c>
    </row>
    <row r="40" spans="1:7" s="118" customFormat="1">
      <c r="A40" s="151"/>
      <c r="B40" s="124" t="s">
        <v>282</v>
      </c>
      <c r="C40" s="133">
        <v>1750000</v>
      </c>
      <c r="D40" s="124" t="s">
        <v>109</v>
      </c>
      <c r="E40" s="159"/>
      <c r="F40" s="163"/>
      <c r="G40" s="168">
        <f t="shared" si="0"/>
        <v>1750000</v>
      </c>
    </row>
    <row r="41" spans="1:7" s="118" customFormat="1" ht="42">
      <c r="A41" s="151"/>
      <c r="B41" s="124" t="s">
        <v>283</v>
      </c>
      <c r="C41" s="133">
        <v>1626000</v>
      </c>
      <c r="D41" s="124" t="s">
        <v>83</v>
      </c>
      <c r="E41" s="159"/>
      <c r="F41" s="163"/>
      <c r="G41" s="168">
        <f t="shared" si="0"/>
        <v>1626000</v>
      </c>
    </row>
    <row r="42" spans="1:7" s="118" customFormat="1" ht="42">
      <c r="A42" s="151">
        <v>8</v>
      </c>
      <c r="B42" s="116" t="s">
        <v>263</v>
      </c>
      <c r="C42" s="133">
        <v>7240000</v>
      </c>
      <c r="D42" s="116" t="s">
        <v>114</v>
      </c>
      <c r="E42" s="159"/>
      <c r="F42" s="163"/>
      <c r="G42" s="168">
        <f t="shared" si="0"/>
        <v>7240000</v>
      </c>
    </row>
    <row r="43" spans="1:7" s="118" customFormat="1" ht="42">
      <c r="A43" s="151"/>
      <c r="B43" s="124" t="s">
        <v>284</v>
      </c>
      <c r="C43" s="133">
        <v>5240000</v>
      </c>
      <c r="D43" s="124" t="s">
        <v>117</v>
      </c>
      <c r="E43" s="159"/>
      <c r="F43" s="163"/>
      <c r="G43" s="168">
        <f t="shared" si="0"/>
        <v>5240000</v>
      </c>
    </row>
    <row r="44" spans="1:7" s="118" customFormat="1" ht="42">
      <c r="A44" s="151"/>
      <c r="B44" s="124" t="s">
        <v>285</v>
      </c>
      <c r="C44" s="133">
        <v>2000000</v>
      </c>
      <c r="D44" s="124" t="s">
        <v>120</v>
      </c>
      <c r="E44" s="159"/>
      <c r="F44" s="163"/>
      <c r="G44" s="168">
        <f t="shared" si="0"/>
        <v>2000000</v>
      </c>
    </row>
    <row r="45" spans="1:7" s="118" customFormat="1">
      <c r="A45" s="181"/>
      <c r="B45" s="198" t="s">
        <v>264</v>
      </c>
      <c r="C45" s="199"/>
      <c r="D45" s="199"/>
      <c r="E45" s="199"/>
      <c r="F45" s="199"/>
      <c r="G45" s="200"/>
    </row>
    <row r="46" spans="1:7" s="118" customFormat="1">
      <c r="A46" s="151"/>
      <c r="B46" s="119" t="s">
        <v>122</v>
      </c>
      <c r="C46" s="138">
        <f>C47+C71</f>
        <v>60928200</v>
      </c>
      <c r="D46" s="137"/>
      <c r="E46" s="159"/>
      <c r="F46" s="163"/>
      <c r="G46" s="168">
        <f t="shared" si="0"/>
        <v>60928200</v>
      </c>
    </row>
    <row r="47" spans="1:7" s="139" customFormat="1">
      <c r="A47" s="151">
        <v>9</v>
      </c>
      <c r="B47" s="116" t="s">
        <v>123</v>
      </c>
      <c r="C47" s="126">
        <v>51328200</v>
      </c>
      <c r="D47" s="129"/>
      <c r="E47" s="156"/>
      <c r="F47" s="166"/>
      <c r="G47" s="168">
        <f t="shared" si="0"/>
        <v>51328200</v>
      </c>
    </row>
    <row r="48" spans="1:7" s="139" customFormat="1">
      <c r="A48" s="151"/>
      <c r="B48" s="116" t="s">
        <v>124</v>
      </c>
      <c r="C48" s="133">
        <v>20817800</v>
      </c>
      <c r="D48" s="116"/>
      <c r="E48" s="156"/>
      <c r="F48" s="166"/>
      <c r="G48" s="168">
        <f t="shared" si="0"/>
        <v>20817800</v>
      </c>
    </row>
    <row r="49" spans="1:7" s="139" customFormat="1" ht="42">
      <c r="A49" s="151"/>
      <c r="B49" s="140" t="s">
        <v>125</v>
      </c>
      <c r="C49" s="133">
        <f>C50</f>
        <v>16000000</v>
      </c>
      <c r="D49" s="116"/>
      <c r="E49" s="156"/>
      <c r="F49" s="166"/>
      <c r="G49" s="168">
        <f t="shared" si="0"/>
        <v>16000000</v>
      </c>
    </row>
    <row r="50" spans="1:7" s="118" customFormat="1" ht="42">
      <c r="A50" s="151"/>
      <c r="B50" s="141" t="s">
        <v>286</v>
      </c>
      <c r="C50" s="133">
        <v>16000000</v>
      </c>
      <c r="D50" s="142" t="s">
        <v>128</v>
      </c>
      <c r="E50" s="159"/>
      <c r="F50" s="163"/>
      <c r="G50" s="168">
        <f t="shared" si="0"/>
        <v>16000000</v>
      </c>
    </row>
    <row r="51" spans="1:7" s="118" customFormat="1" ht="42">
      <c r="A51" s="151"/>
      <c r="B51" s="140" t="s">
        <v>129</v>
      </c>
      <c r="C51" s="133">
        <f>SUM(C52:C54)</f>
        <v>4817800</v>
      </c>
      <c r="D51" s="142"/>
      <c r="E51" s="159"/>
      <c r="F51" s="163"/>
      <c r="G51" s="168">
        <f t="shared" si="0"/>
        <v>4817800</v>
      </c>
    </row>
    <row r="52" spans="1:7" s="118" customFormat="1" ht="42">
      <c r="A52" s="151"/>
      <c r="B52" s="141" t="s">
        <v>287</v>
      </c>
      <c r="C52" s="133">
        <v>2487800</v>
      </c>
      <c r="D52" s="141" t="s">
        <v>132</v>
      </c>
      <c r="E52" s="159"/>
      <c r="F52" s="163"/>
      <c r="G52" s="168">
        <f t="shared" si="0"/>
        <v>2487800</v>
      </c>
    </row>
    <row r="53" spans="1:7" s="118" customFormat="1" ht="42">
      <c r="A53" s="151"/>
      <c r="B53" s="141" t="s">
        <v>289</v>
      </c>
      <c r="C53" s="133">
        <v>500000</v>
      </c>
      <c r="D53" s="141" t="s">
        <v>132</v>
      </c>
      <c r="E53" s="159"/>
      <c r="F53" s="163"/>
      <c r="G53" s="168">
        <f t="shared" si="0"/>
        <v>500000</v>
      </c>
    </row>
    <row r="54" spans="1:7" s="118" customFormat="1">
      <c r="A54" s="151"/>
      <c r="B54" s="143" t="s">
        <v>288</v>
      </c>
      <c r="C54" s="133">
        <v>1830000</v>
      </c>
      <c r="D54" s="141" t="s">
        <v>137</v>
      </c>
      <c r="E54" s="159"/>
      <c r="F54" s="163"/>
      <c r="G54" s="168">
        <f t="shared" si="0"/>
        <v>1830000</v>
      </c>
    </row>
    <row r="55" spans="1:7" s="118" customFormat="1" ht="42">
      <c r="A55" s="151"/>
      <c r="B55" s="140" t="s">
        <v>138</v>
      </c>
      <c r="C55" s="127">
        <f>C56+C57+C58</f>
        <v>13800000</v>
      </c>
      <c r="D55" s="141"/>
      <c r="E55" s="159"/>
      <c r="F55" s="163"/>
      <c r="G55" s="168">
        <f t="shared" si="0"/>
        <v>13800000</v>
      </c>
    </row>
    <row r="56" spans="1:7" s="118" customFormat="1" ht="42">
      <c r="A56" s="151"/>
      <c r="B56" s="141" t="s">
        <v>290</v>
      </c>
      <c r="C56" s="133">
        <v>8000000</v>
      </c>
      <c r="D56" s="141" t="s">
        <v>141</v>
      </c>
      <c r="E56" s="159"/>
      <c r="F56" s="163"/>
      <c r="G56" s="168">
        <f t="shared" si="0"/>
        <v>8000000</v>
      </c>
    </row>
    <row r="57" spans="1:7" s="118" customFormat="1">
      <c r="A57" s="151"/>
      <c r="B57" s="141" t="s">
        <v>291</v>
      </c>
      <c r="C57" s="133">
        <v>4800000</v>
      </c>
      <c r="D57" s="141" t="s">
        <v>144</v>
      </c>
      <c r="E57" s="159"/>
      <c r="F57" s="163"/>
      <c r="G57" s="168">
        <f t="shared" si="0"/>
        <v>4800000</v>
      </c>
    </row>
    <row r="58" spans="1:7" s="118" customFormat="1" ht="42">
      <c r="A58" s="150"/>
      <c r="B58" s="141" t="s">
        <v>292</v>
      </c>
      <c r="C58" s="133">
        <v>1000000</v>
      </c>
      <c r="D58" s="141" t="s">
        <v>147</v>
      </c>
      <c r="E58" s="159"/>
      <c r="F58" s="163"/>
      <c r="G58" s="168">
        <f t="shared" si="0"/>
        <v>1000000</v>
      </c>
    </row>
    <row r="59" spans="1:7" s="118" customFormat="1">
      <c r="A59" s="150"/>
      <c r="B59" s="140" t="s">
        <v>148</v>
      </c>
      <c r="C59" s="133">
        <f>C60+C61+C62</f>
        <v>6288000</v>
      </c>
      <c r="D59" s="141"/>
      <c r="E59" s="159"/>
      <c r="F59" s="163"/>
      <c r="G59" s="168">
        <f t="shared" si="0"/>
        <v>6288000</v>
      </c>
    </row>
    <row r="60" spans="1:7" s="118" customFormat="1" ht="42">
      <c r="A60" s="150"/>
      <c r="B60" s="144" t="s">
        <v>293</v>
      </c>
      <c r="C60" s="145">
        <v>1400000</v>
      </c>
      <c r="D60" s="141" t="s">
        <v>151</v>
      </c>
      <c r="E60" s="159"/>
      <c r="F60" s="163"/>
      <c r="G60" s="168">
        <f t="shared" si="0"/>
        <v>1400000</v>
      </c>
    </row>
    <row r="61" spans="1:7" s="118" customFormat="1">
      <c r="A61" s="150"/>
      <c r="B61" s="143" t="s">
        <v>294</v>
      </c>
      <c r="C61" s="136">
        <v>2861000</v>
      </c>
      <c r="D61" s="141" t="s">
        <v>154</v>
      </c>
      <c r="E61" s="159"/>
      <c r="F61" s="163"/>
      <c r="G61" s="168">
        <f t="shared" si="0"/>
        <v>2861000</v>
      </c>
    </row>
    <row r="62" spans="1:7" s="139" customFormat="1" ht="42">
      <c r="A62" s="150"/>
      <c r="B62" s="146" t="s">
        <v>295</v>
      </c>
      <c r="C62" s="136">
        <v>2027000</v>
      </c>
      <c r="D62" s="141" t="s">
        <v>157</v>
      </c>
      <c r="E62" s="156"/>
      <c r="F62" s="166"/>
      <c r="G62" s="168">
        <f t="shared" si="0"/>
        <v>2027000</v>
      </c>
    </row>
    <row r="63" spans="1:7" s="139" customFormat="1" ht="63">
      <c r="A63" s="150"/>
      <c r="B63" s="147" t="s">
        <v>158</v>
      </c>
      <c r="C63" s="133">
        <f>C64+C65+C66+C67+C68</f>
        <v>5297100</v>
      </c>
      <c r="D63" s="141"/>
      <c r="E63" s="156"/>
      <c r="F63" s="166"/>
      <c r="G63" s="168">
        <f t="shared" si="0"/>
        <v>5297100</v>
      </c>
    </row>
    <row r="64" spans="1:7" s="139" customFormat="1" ht="42">
      <c r="A64" s="150"/>
      <c r="B64" s="146" t="s">
        <v>301</v>
      </c>
      <c r="C64" s="133">
        <v>3160000</v>
      </c>
      <c r="D64" s="141" t="s">
        <v>266</v>
      </c>
      <c r="E64" s="156"/>
      <c r="F64" s="166"/>
      <c r="G64" s="168">
        <f t="shared" si="0"/>
        <v>3160000</v>
      </c>
    </row>
    <row r="65" spans="1:7" s="118" customFormat="1" ht="42">
      <c r="A65" s="150"/>
      <c r="B65" s="146" t="s">
        <v>296</v>
      </c>
      <c r="C65" s="133">
        <v>740000</v>
      </c>
      <c r="D65" s="141" t="s">
        <v>164</v>
      </c>
      <c r="E65" s="159"/>
      <c r="F65" s="163"/>
      <c r="G65" s="168">
        <f t="shared" si="0"/>
        <v>740000</v>
      </c>
    </row>
    <row r="66" spans="1:7" s="118" customFormat="1">
      <c r="A66" s="150"/>
      <c r="B66" s="146" t="s">
        <v>302</v>
      </c>
      <c r="C66" s="133">
        <v>500000</v>
      </c>
      <c r="D66" s="141" t="s">
        <v>265</v>
      </c>
      <c r="E66" s="159"/>
      <c r="F66" s="163"/>
      <c r="G66" s="168">
        <f t="shared" si="0"/>
        <v>500000</v>
      </c>
    </row>
    <row r="67" spans="1:7" s="118" customFormat="1" ht="63">
      <c r="A67" s="150"/>
      <c r="B67" s="146" t="s">
        <v>297</v>
      </c>
      <c r="C67" s="133">
        <v>600000</v>
      </c>
      <c r="D67" s="141" t="s">
        <v>170</v>
      </c>
      <c r="E67" s="159"/>
      <c r="F67" s="163"/>
      <c r="G67" s="168">
        <f t="shared" si="0"/>
        <v>600000</v>
      </c>
    </row>
    <row r="68" spans="1:7" s="118" customFormat="1">
      <c r="A68" s="150"/>
      <c r="B68" s="146" t="s">
        <v>298</v>
      </c>
      <c r="C68" s="133">
        <v>297100</v>
      </c>
      <c r="D68" s="141" t="s">
        <v>97</v>
      </c>
      <c r="E68" s="159"/>
      <c r="F68" s="163"/>
      <c r="G68" s="168">
        <f t="shared" si="0"/>
        <v>297100</v>
      </c>
    </row>
    <row r="69" spans="1:7" s="139" customFormat="1" ht="42">
      <c r="A69" s="150"/>
      <c r="B69" s="147" t="s">
        <v>173</v>
      </c>
      <c r="C69" s="133">
        <v>5125300</v>
      </c>
      <c r="D69" s="140"/>
      <c r="E69" s="156"/>
      <c r="F69" s="166"/>
      <c r="G69" s="168">
        <f t="shared" si="0"/>
        <v>5125300</v>
      </c>
    </row>
    <row r="70" spans="1:7" s="139" customFormat="1">
      <c r="A70" s="150"/>
      <c r="B70" s="146" t="s">
        <v>299</v>
      </c>
      <c r="C70" s="133">
        <v>5125300</v>
      </c>
      <c r="D70" s="141" t="s">
        <v>53</v>
      </c>
      <c r="E70" s="156"/>
      <c r="F70" s="166"/>
      <c r="G70" s="168">
        <f t="shared" ref="G70:G72" si="1">C70-F70</f>
        <v>5125300</v>
      </c>
    </row>
    <row r="71" spans="1:7" s="118" customFormat="1" ht="42">
      <c r="A71" s="150">
        <v>10</v>
      </c>
      <c r="B71" s="148" t="s">
        <v>176</v>
      </c>
      <c r="C71" s="133">
        <v>9600000</v>
      </c>
      <c r="D71" s="148" t="s">
        <v>128</v>
      </c>
      <c r="E71" s="159"/>
      <c r="F71" s="163"/>
      <c r="G71" s="168">
        <f t="shared" si="1"/>
        <v>9600000</v>
      </c>
    </row>
    <row r="72" spans="1:7" s="139" customFormat="1" ht="42.75" thickBot="1">
      <c r="A72" s="169">
        <v>11</v>
      </c>
      <c r="B72" s="170" t="s">
        <v>178</v>
      </c>
      <c r="C72" s="171">
        <v>10000000</v>
      </c>
      <c r="D72" s="170" t="s">
        <v>181</v>
      </c>
      <c r="E72" s="157"/>
      <c r="F72" s="158">
        <v>179063</v>
      </c>
      <c r="G72" s="172">
        <f t="shared" si="1"/>
        <v>9820937</v>
      </c>
    </row>
    <row r="73" spans="1:7" s="139" customFormat="1" ht="43.5" thickTop="1" thickBot="1">
      <c r="A73" s="173"/>
      <c r="B73" s="174" t="s">
        <v>272</v>
      </c>
      <c r="C73" s="175">
        <f>C5+C24+C28+C46+C72</f>
        <v>206607100</v>
      </c>
      <c r="D73" s="176" t="s">
        <v>107</v>
      </c>
      <c r="E73" s="177"/>
      <c r="F73" s="178">
        <f>SUM(F5:F72)</f>
        <v>179063</v>
      </c>
      <c r="G73" s="179">
        <f>C73-F73</f>
        <v>206428037</v>
      </c>
    </row>
    <row r="74" spans="1:7" ht="21.75" thickTop="1"/>
  </sheetData>
  <mergeCells count="12">
    <mergeCell ref="A1:G1"/>
    <mergeCell ref="B4:G4"/>
    <mergeCell ref="B27:G27"/>
    <mergeCell ref="B45:G45"/>
    <mergeCell ref="E2:E3"/>
    <mergeCell ref="F2:F3"/>
    <mergeCell ref="G2:G3"/>
    <mergeCell ref="A2:A3"/>
    <mergeCell ref="B2:B3"/>
    <mergeCell ref="C2:C3"/>
    <mergeCell ref="D2:D3"/>
    <mergeCell ref="B23:G23"/>
  </mergeCells>
  <pageMargins left="0.15748031496062992" right="0.15748031496062992" top="0.16" bottom="0.16" header="0.51181102362204722" footer="0.23622047244094491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กิจกรรมล้วน  แยกงบรายจ่าย</vt:lpstr>
      <vt:lpstr>ผลผลิต</vt:lpstr>
      <vt:lpstr>รายชื่อรับผิดชอบ</vt:lpstr>
      <vt:lpstr>รายการกิจกรรม</vt:lpstr>
      <vt:lpstr>'กิจกรรมล้วน  แยกงบรายจ่าย'!Print_Area</vt:lpstr>
      <vt:lpstr>ผลผลิต!Print_Area</vt:lpstr>
      <vt:lpstr>รายการกิจกรรม!Print_Area</vt:lpstr>
      <vt:lpstr>รายชื่อรับผิดชอบ!Print_Area</vt:lpstr>
      <vt:lpstr>'กิจกรรมล้วน  แยกงบรายจ่าย'!Print_Titles</vt:lpstr>
      <vt:lpstr>ผลผลิต!Print_Titles</vt:lpstr>
      <vt:lpstr>รายการกิจกรรม!Print_Titles</vt:lpstr>
      <vt:lpstr>รายชื่อรับผิดชอบ!Print_Titles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Somsak</dc:creator>
  <cp:lastModifiedBy>A@dee</cp:lastModifiedBy>
  <cp:lastPrinted>2013-06-27T09:57:37Z</cp:lastPrinted>
  <dcterms:created xsi:type="dcterms:W3CDTF">2012-10-22T04:06:29Z</dcterms:created>
  <dcterms:modified xsi:type="dcterms:W3CDTF">2013-06-27T09:58:38Z</dcterms:modified>
</cp:coreProperties>
</file>