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755" yWindow="-195" windowWidth="12735" windowHeight="6825" firstSheet="1" activeTab="4"/>
  </bookViews>
  <sheets>
    <sheet name="ติดตาม งบปี61 จังหวัด (ผ.อ) " sheetId="34" state="hidden" r:id="rId1"/>
    <sheet name=" คุมเบิกประเด็น 1" sheetId="24" r:id="rId2"/>
    <sheet name="คุมเบิกประเด็น 2 " sheetId="25" r:id="rId3"/>
    <sheet name="คุมเบิกประเด็น 3 " sheetId="26" r:id="rId4"/>
    <sheet name="คุมเบิกยุทธศาสตร์ภาค " sheetId="27" r:id="rId5"/>
  </sheets>
  <definedNames>
    <definedName name="_xlnm.Print_Area" localSheetId="1">' คุมเบิกประเด็น 1'!$A$1:$J$29</definedName>
    <definedName name="_xlnm.Print_Area" localSheetId="2">'คุมเบิกประเด็น 2 '!$A$1:$I$59</definedName>
    <definedName name="_xlnm.Print_Area" localSheetId="3">'คุมเบิกประเด็น 3 '!$A$1:$I$53</definedName>
    <definedName name="_xlnm.Print_Area" localSheetId="4">'คุมเบิกยุทธศาสตร์ภาค '!$A$1:$I$30</definedName>
    <definedName name="_xlnm.Print_Area" localSheetId="0">'ติดตาม งบปี61 จังหวัด (ผ.อ) '!$A$1:$N$371</definedName>
    <definedName name="_xlnm.Print_Titles" localSheetId="1">' คุมเบิกประเด็น 1'!$3:$4</definedName>
    <definedName name="_xlnm.Print_Titles" localSheetId="2">'คุมเบิกประเด็น 2 '!$2:$3</definedName>
    <definedName name="_xlnm.Print_Titles" localSheetId="3">'คุมเบิกประเด็น 3 '!$2:$3</definedName>
    <definedName name="_xlnm.Print_Titles" localSheetId="4">'คุมเบิกยุทธศาสตร์ภาค '!$2:$3</definedName>
    <definedName name="_xlnm.Print_Titles" localSheetId="0">'ติดตาม งบปี61 จังหวัด (ผ.อ) '!$3:$4</definedName>
  </definedNames>
  <calcPr calcId="145621"/>
</workbook>
</file>

<file path=xl/calcChain.xml><?xml version="1.0" encoding="utf-8"?>
<calcChain xmlns="http://schemas.openxmlformats.org/spreadsheetml/2006/main">
  <c r="F32" i="24" l="1"/>
  <c r="E31" i="24"/>
  <c r="AG30" i="27" l="1"/>
  <c r="AG29" i="27"/>
  <c r="AD29" i="27"/>
  <c r="AB29" i="27"/>
  <c r="Z29" i="27"/>
  <c r="X29" i="27"/>
  <c r="V29" i="27"/>
  <c r="T29" i="27"/>
  <c r="R29" i="27"/>
  <c r="P29" i="27"/>
  <c r="N29" i="27"/>
  <c r="L29" i="27"/>
  <c r="J29" i="27"/>
  <c r="P53" i="26"/>
  <c r="AF18" i="26"/>
  <c r="N30" i="27" l="1"/>
  <c r="K30" i="27"/>
  <c r="L30" i="27"/>
  <c r="M30" i="27"/>
  <c r="O30" i="27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E30" i="27"/>
  <c r="AF30" i="27"/>
  <c r="J30" i="27"/>
  <c r="H18" i="26" l="1"/>
  <c r="H29" i="27"/>
  <c r="H19" i="27" l="1"/>
  <c r="H9" i="27"/>
  <c r="H8" i="27"/>
  <c r="H22" i="27"/>
  <c r="H18" i="27"/>
  <c r="G24" i="25"/>
  <c r="H23" i="25"/>
  <c r="I6" i="25"/>
  <c r="H32" i="25"/>
  <c r="H31" i="25"/>
  <c r="H48" i="25"/>
  <c r="H45" i="25"/>
  <c r="H44" i="25"/>
  <c r="H43" i="25"/>
  <c r="H24" i="27"/>
  <c r="H25" i="27"/>
  <c r="H16" i="27"/>
  <c r="I14" i="27"/>
  <c r="H38" i="25"/>
  <c r="H34" i="25"/>
  <c r="H11" i="24"/>
  <c r="H23" i="24"/>
  <c r="K337" i="34"/>
  <c r="H58" i="25"/>
  <c r="H46" i="25"/>
  <c r="G30" i="25"/>
  <c r="G29" i="25"/>
  <c r="G18" i="25"/>
  <c r="J337" i="34"/>
  <c r="I337" i="34"/>
  <c r="H53" i="25"/>
  <c r="H54" i="25"/>
  <c r="H15" i="24"/>
  <c r="H14" i="24"/>
  <c r="H9" i="24"/>
  <c r="H21" i="24"/>
  <c r="H19" i="24"/>
  <c r="H16" i="24"/>
  <c r="H27" i="24"/>
  <c r="H25" i="24"/>
  <c r="H41" i="26"/>
  <c r="K19" i="34" l="1"/>
  <c r="K20" i="34"/>
  <c r="AF28" i="27"/>
  <c r="M337" i="34"/>
  <c r="L337" i="34"/>
  <c r="D371" i="34"/>
  <c r="J23" i="34"/>
  <c r="K23" i="34"/>
  <c r="K24" i="34" l="1"/>
  <c r="I75" i="34"/>
  <c r="AG59" i="25" l="1"/>
  <c r="K59" i="25"/>
  <c r="L59" i="25"/>
  <c r="M59" i="25"/>
  <c r="N59" i="25"/>
  <c r="O59" i="25"/>
  <c r="P59" i="25"/>
  <c r="Q59" i="25"/>
  <c r="R59" i="25"/>
  <c r="S59" i="25"/>
  <c r="T59" i="25"/>
  <c r="U59" i="25"/>
  <c r="V59" i="25"/>
  <c r="W59" i="25"/>
  <c r="X59" i="25"/>
  <c r="Y59" i="25"/>
  <c r="Z59" i="25"/>
  <c r="AA59" i="25"/>
  <c r="AB59" i="25"/>
  <c r="AC59" i="25"/>
  <c r="AD59" i="25"/>
  <c r="AE59" i="25"/>
  <c r="AF59" i="25"/>
  <c r="J59" i="25"/>
  <c r="X39" i="25"/>
  <c r="K323" i="34" l="1"/>
  <c r="M323" i="34"/>
  <c r="L41" i="26" l="1"/>
  <c r="K53" i="34"/>
  <c r="K334" i="34"/>
  <c r="M334" i="34"/>
  <c r="X35" i="26"/>
  <c r="Z36" i="26" l="1"/>
  <c r="K93" i="34" l="1"/>
  <c r="K98" i="34" l="1"/>
  <c r="K91" i="34"/>
  <c r="X18" i="26" l="1"/>
  <c r="T12" i="26" l="1"/>
  <c r="K83" i="34" l="1"/>
  <c r="I84" i="34"/>
  <c r="K81" i="34"/>
  <c r="K191" i="34" l="1"/>
  <c r="M191" i="34"/>
  <c r="K228" i="34" l="1"/>
  <c r="K287" i="34" l="1"/>
  <c r="V17" i="25" l="1"/>
  <c r="AB17" i="25"/>
  <c r="P17" i="25"/>
  <c r="N17" i="25"/>
  <c r="AD13" i="25" l="1"/>
  <c r="AF10" i="25" l="1"/>
  <c r="AD10" i="25"/>
  <c r="T8" i="25" l="1"/>
  <c r="F28" i="24" l="1"/>
  <c r="G21" i="24"/>
  <c r="S17" i="24"/>
  <c r="K16" i="34" l="1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K28" i="24"/>
  <c r="X41" i="26"/>
  <c r="X24" i="26"/>
  <c r="X10" i="25"/>
  <c r="X11" i="27"/>
  <c r="X28" i="27"/>
  <c r="X46" i="26" l="1"/>
  <c r="AB11" i="26" l="1"/>
  <c r="Z24" i="25"/>
  <c r="Z39" i="25"/>
  <c r="Z10" i="25"/>
  <c r="Z17" i="25"/>
  <c r="Z11" i="26"/>
  <c r="AA20" i="24"/>
  <c r="AB18" i="26"/>
  <c r="Z41" i="26"/>
  <c r="I10" i="24"/>
  <c r="AB39" i="25"/>
  <c r="AC20" i="24"/>
  <c r="AB35" i="26"/>
  <c r="AB10" i="25" l="1"/>
  <c r="AB24" i="25"/>
  <c r="AB41" i="26"/>
  <c r="AD39" i="25" l="1"/>
  <c r="AE15" i="24"/>
  <c r="AE46" i="26"/>
  <c r="AD17" i="25"/>
  <c r="AD19" i="26"/>
  <c r="AE31" i="26"/>
  <c r="AE20" i="24"/>
  <c r="AE10" i="24"/>
  <c r="AE8" i="27"/>
  <c r="AD28" i="27"/>
  <c r="AF17" i="25"/>
  <c r="AG10" i="24"/>
  <c r="AE11" i="27"/>
  <c r="AG11" i="27"/>
  <c r="AF34" i="26"/>
  <c r="AG20" i="24"/>
  <c r="AF39" i="25"/>
  <c r="AF37" i="25"/>
  <c r="AF11" i="26"/>
  <c r="AF32" i="26"/>
  <c r="AF15" i="26"/>
  <c r="AF24" i="26"/>
  <c r="AF20" i="26"/>
  <c r="AG25" i="27"/>
  <c r="AF49" i="26"/>
  <c r="AG19" i="27"/>
  <c r="AF42" i="26"/>
  <c r="AF40" i="25"/>
  <c r="AG9" i="27"/>
  <c r="AG19" i="24"/>
  <c r="AG17" i="27"/>
  <c r="AF19" i="26" l="1"/>
  <c r="AG34" i="26" l="1"/>
  <c r="AF41" i="26" l="1"/>
  <c r="N36" i="25" l="1"/>
  <c r="M331" i="34"/>
  <c r="K331" i="34"/>
  <c r="G55" i="25"/>
  <c r="G57" i="25"/>
  <c r="G56" i="25"/>
  <c r="J93" i="34" l="1"/>
  <c r="J277" i="34" l="1"/>
  <c r="J126" i="34" l="1"/>
  <c r="K126" i="34"/>
  <c r="K108" i="34" l="1"/>
  <c r="K28" i="34" l="1"/>
  <c r="F9" i="27" l="1"/>
  <c r="K106" i="34" l="1"/>
  <c r="J106" i="34"/>
  <c r="J163" i="34" l="1"/>
  <c r="K163" i="34"/>
  <c r="J69" i="34" l="1"/>
  <c r="K69" i="34"/>
  <c r="I70" i="34" l="1"/>
  <c r="K70" i="34" s="1"/>
  <c r="K58" i="34"/>
  <c r="J30" i="34"/>
  <c r="J276" i="34" l="1"/>
  <c r="K276" i="34"/>
  <c r="J244" i="34" l="1"/>
  <c r="K244" i="34"/>
  <c r="J224" i="34" l="1"/>
  <c r="K205" i="34"/>
  <c r="I205" i="34"/>
  <c r="K207" i="34"/>
  <c r="J207" i="34"/>
  <c r="J194" i="34"/>
  <c r="K194" i="34"/>
  <c r="K182" i="34" l="1"/>
  <c r="K178" i="34"/>
  <c r="J124" i="34" l="1"/>
  <c r="J119" i="34"/>
  <c r="K119" i="34"/>
  <c r="K124" i="34" l="1"/>
  <c r="J117" i="34" l="1"/>
  <c r="J113" i="34"/>
  <c r="J98" i="34" l="1"/>
  <c r="J79" i="34"/>
  <c r="K79" i="34"/>
  <c r="J75" i="34"/>
  <c r="K75" i="34"/>
  <c r="J70" i="34"/>
  <c r="J72" i="34" l="1"/>
  <c r="J60" i="34"/>
  <c r="J53" i="34"/>
  <c r="K36" i="34"/>
  <c r="J34" i="34"/>
  <c r="K34" i="34"/>
  <c r="J28" i="34" l="1"/>
  <c r="J25" i="34"/>
  <c r="K25" i="34"/>
  <c r="J18" i="34"/>
  <c r="K175" i="34" l="1"/>
  <c r="F56" i="25" l="1"/>
  <c r="H56" i="25" s="1"/>
  <c r="J242" i="34" l="1"/>
  <c r="K242" i="34"/>
  <c r="K188" i="34" l="1"/>
  <c r="M188" i="34"/>
  <c r="M182" i="34"/>
  <c r="K185" i="34"/>
  <c r="K99" i="34"/>
  <c r="J99" i="34"/>
  <c r="M99" i="34"/>
  <c r="J81" i="34" l="1"/>
  <c r="K60" i="34"/>
  <c r="J65" i="34" l="1"/>
  <c r="K65" i="34"/>
  <c r="I20" i="34"/>
  <c r="D20" i="34"/>
  <c r="J22" i="34"/>
  <c r="K22" i="34"/>
  <c r="K71" i="34" l="1"/>
  <c r="J71" i="34"/>
  <c r="J206" i="34" l="1"/>
  <c r="K206" i="34"/>
  <c r="K328" i="34" l="1"/>
  <c r="K325" i="34"/>
  <c r="I245" i="34" l="1"/>
  <c r="J245" i="34" s="1"/>
  <c r="J248" i="34"/>
  <c r="K248" i="34"/>
  <c r="J293" i="34" l="1"/>
  <c r="K293" i="34"/>
  <c r="J51" i="34" l="1"/>
  <c r="K51" i="34"/>
  <c r="J233" i="34" l="1"/>
  <c r="K233" i="34"/>
  <c r="L104" i="34" l="1"/>
  <c r="J278" i="34" l="1"/>
  <c r="K278" i="34"/>
  <c r="J12" i="34" l="1"/>
  <c r="K12" i="34"/>
  <c r="D58" i="26" l="1"/>
  <c r="J191" i="34" l="1"/>
  <c r="K240" i="34"/>
  <c r="J240" i="34"/>
  <c r="K239" i="34"/>
  <c r="K238" i="34"/>
  <c r="J238" i="34"/>
  <c r="K237" i="34"/>
  <c r="M228" i="34"/>
  <c r="J228" i="34"/>
  <c r="K227" i="34"/>
  <c r="K226" i="34"/>
  <c r="K38" i="34"/>
  <c r="J38" i="34"/>
  <c r="J323" i="34"/>
  <c r="J334" i="34" l="1"/>
  <c r="G19" i="26"/>
  <c r="G15" i="26"/>
  <c r="G54" i="25"/>
  <c r="G53" i="25"/>
  <c r="D14" i="27" l="1"/>
  <c r="I28" i="26"/>
  <c r="E28" i="26"/>
  <c r="D28" i="26"/>
  <c r="I43" i="26"/>
  <c r="D43" i="26"/>
  <c r="E43" i="26"/>
  <c r="D6" i="26"/>
  <c r="E6" i="26"/>
  <c r="E18" i="25"/>
  <c r="D6" i="25"/>
  <c r="D11" i="24"/>
  <c r="E53" i="26" l="1"/>
  <c r="D56" i="26" s="1"/>
  <c r="E14" i="27"/>
  <c r="F20" i="27"/>
  <c r="G20" i="27"/>
  <c r="H20" i="27" s="1"/>
  <c r="F38" i="26"/>
  <c r="G38" i="26"/>
  <c r="H38" i="26" l="1"/>
  <c r="E41" i="25"/>
  <c r="F58" i="25"/>
  <c r="F57" i="25"/>
  <c r="H57" i="25" s="1"/>
  <c r="G52" i="26" l="1"/>
  <c r="F52" i="26"/>
  <c r="F22" i="24"/>
  <c r="E6" i="25"/>
  <c r="F13" i="25"/>
  <c r="F19" i="26"/>
  <c r="H19" i="26" s="1"/>
  <c r="H13" i="25" l="1"/>
  <c r="H52" i="26"/>
  <c r="H22" i="24"/>
  <c r="F20" i="26" l="1"/>
  <c r="H20" i="26" s="1"/>
  <c r="G22" i="27" l="1"/>
  <c r="G19" i="27"/>
  <c r="G18" i="27"/>
  <c r="G17" i="27"/>
  <c r="G16" i="27"/>
  <c r="G9" i="27"/>
  <c r="G51" i="26"/>
  <c r="G50" i="26"/>
  <c r="G48" i="26"/>
  <c r="G47" i="26"/>
  <c r="G45" i="26"/>
  <c r="G42" i="26"/>
  <c r="G37" i="26"/>
  <c r="G35" i="26"/>
  <c r="H35" i="26" s="1"/>
  <c r="G32" i="26"/>
  <c r="G27" i="26" l="1"/>
  <c r="G26" i="26"/>
  <c r="G25" i="26"/>
  <c r="G24" i="26"/>
  <c r="G23" i="26"/>
  <c r="G17" i="26"/>
  <c r="G16" i="26"/>
  <c r="G14" i="26"/>
  <c r="G13" i="26"/>
  <c r="G12" i="26"/>
  <c r="G45" i="25"/>
  <c r="G44" i="25"/>
  <c r="G43" i="25"/>
  <c r="G40" i="25"/>
  <c r="G37" i="25"/>
  <c r="H37" i="25" s="1"/>
  <c r="G36" i="25"/>
  <c r="G33" i="25"/>
  <c r="H33" i="25" s="1"/>
  <c r="G28" i="25"/>
  <c r="G27" i="25"/>
  <c r="G26" i="25"/>
  <c r="H26" i="25" s="1"/>
  <c r="G25" i="25"/>
  <c r="H24" i="25"/>
  <c r="G23" i="25"/>
  <c r="I22" i="25"/>
  <c r="G22" i="25"/>
  <c r="G21" i="25"/>
  <c r="G20" i="25"/>
  <c r="G17" i="25"/>
  <c r="H17" i="25" s="1"/>
  <c r="G12" i="25"/>
  <c r="G11" i="25"/>
  <c r="G10" i="25"/>
  <c r="H10" i="25" s="1"/>
  <c r="I8" i="25"/>
  <c r="G9" i="25"/>
  <c r="G8" i="25"/>
  <c r="G27" i="24"/>
  <c r="G26" i="24"/>
  <c r="H26" i="24" s="1"/>
  <c r="G20" i="24"/>
  <c r="H20" i="24" s="1"/>
  <c r="G18" i="24"/>
  <c r="H18" i="24" s="1"/>
  <c r="G17" i="24"/>
  <c r="H17" i="24" s="1"/>
  <c r="G16" i="24"/>
  <c r="G15" i="24"/>
  <c r="G14" i="24"/>
  <c r="G34" i="25" l="1"/>
  <c r="G6" i="25"/>
  <c r="G21" i="26"/>
  <c r="G10" i="24"/>
  <c r="G19" i="24" l="1"/>
  <c r="G41" i="26"/>
  <c r="G25" i="24"/>
  <c r="G23" i="24" s="1"/>
  <c r="G8" i="26" l="1"/>
  <c r="H13" i="26"/>
  <c r="K113" i="34"/>
  <c r="L113" i="34"/>
  <c r="H8" i="26" l="1"/>
  <c r="M7" i="34"/>
  <c r="K7" i="34"/>
  <c r="J308" i="34" l="1"/>
  <c r="K262" i="34"/>
  <c r="K259" i="34"/>
  <c r="J253" i="34"/>
  <c r="K253" i="34"/>
  <c r="K102" i="34" l="1"/>
  <c r="J102" i="34"/>
  <c r="J197" i="34" l="1"/>
  <c r="J259" i="34" l="1"/>
  <c r="J325" i="34" l="1"/>
  <c r="M328" i="34"/>
  <c r="J328" i="34"/>
  <c r="J290" i="34" l="1"/>
  <c r="K95" i="34" l="1"/>
  <c r="J95" i="34"/>
  <c r="K198" i="34" l="1"/>
  <c r="I196" i="34"/>
  <c r="G8" i="27" s="1"/>
  <c r="I74" i="34" l="1"/>
  <c r="K74" i="34" l="1"/>
  <c r="J74" i="34"/>
  <c r="G39" i="25"/>
  <c r="G38" i="25" s="1"/>
  <c r="J40" i="34" l="1"/>
  <c r="J121" i="34" l="1"/>
  <c r="K121" i="34"/>
  <c r="M121" i="34"/>
  <c r="J250" i="34" l="1"/>
  <c r="K30" i="34" l="1"/>
  <c r="I223" i="34" l="1"/>
  <c r="G25" i="27" s="1"/>
  <c r="J218" i="34"/>
  <c r="J210" i="34"/>
  <c r="J104" i="34"/>
  <c r="K104" i="34"/>
  <c r="J188" i="34"/>
  <c r="J331" i="34"/>
  <c r="J287" i="34"/>
  <c r="J111" i="34" l="1"/>
  <c r="AG44" i="27" l="1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F28" i="27"/>
  <c r="H26" i="27"/>
  <c r="F24" i="27"/>
  <c r="F18" i="27"/>
  <c r="I6" i="27"/>
  <c r="F6" i="27"/>
  <c r="E6" i="27"/>
  <c r="E30" i="27" s="1"/>
  <c r="E34" i="27" s="1"/>
  <c r="D6" i="27"/>
  <c r="D30" i="27" s="1"/>
  <c r="D34" i="27" s="1"/>
  <c r="AG53" i="26"/>
  <c r="AF53" i="26"/>
  <c r="AE53" i="26"/>
  <c r="AD53" i="26"/>
  <c r="AC53" i="26"/>
  <c r="AB53" i="26"/>
  <c r="AA53" i="26"/>
  <c r="Z53" i="26"/>
  <c r="Y53" i="26"/>
  <c r="X53" i="26"/>
  <c r="U53" i="26"/>
  <c r="S53" i="26"/>
  <c r="Q53" i="26"/>
  <c r="O53" i="26"/>
  <c r="N53" i="26"/>
  <c r="M53" i="26"/>
  <c r="K53" i="26"/>
  <c r="J53" i="26"/>
  <c r="E33" i="27"/>
  <c r="F51" i="26"/>
  <c r="H51" i="26" s="1"/>
  <c r="H50" i="26"/>
  <c r="F49" i="26"/>
  <c r="H48" i="26"/>
  <c r="H47" i="26"/>
  <c r="F46" i="26"/>
  <c r="F45" i="26"/>
  <c r="F43" i="26" s="1"/>
  <c r="F42" i="26"/>
  <c r="F39" i="26" s="1"/>
  <c r="T41" i="26"/>
  <c r="T53" i="26" s="1"/>
  <c r="R41" i="26"/>
  <c r="R53" i="26" s="1"/>
  <c r="P41" i="26"/>
  <c r="L53" i="26"/>
  <c r="I39" i="26"/>
  <c r="G39" i="26"/>
  <c r="D39" i="26"/>
  <c r="F37" i="26"/>
  <c r="H37" i="26" s="1"/>
  <c r="F36" i="26"/>
  <c r="F34" i="26"/>
  <c r="F33" i="26"/>
  <c r="H32" i="26"/>
  <c r="W31" i="26"/>
  <c r="W53" i="26" s="1"/>
  <c r="F31" i="26"/>
  <c r="V30" i="26"/>
  <c r="V53" i="26" s="1"/>
  <c r="F30" i="26"/>
  <c r="F28" i="26" s="1"/>
  <c r="H27" i="26"/>
  <c r="H26" i="26"/>
  <c r="H25" i="26"/>
  <c r="H24" i="26"/>
  <c r="H23" i="26"/>
  <c r="I21" i="26"/>
  <c r="F21" i="26"/>
  <c r="D21" i="26"/>
  <c r="D53" i="26" s="1"/>
  <c r="D33" i="27" s="1"/>
  <c r="F18" i="26"/>
  <c r="F17" i="26"/>
  <c r="H17" i="26" s="1"/>
  <c r="F16" i="26"/>
  <c r="H16" i="26" s="1"/>
  <c r="F15" i="26"/>
  <c r="H15" i="26" s="1"/>
  <c r="I14" i="26"/>
  <c r="H12" i="26"/>
  <c r="F11" i="26"/>
  <c r="F9" i="26"/>
  <c r="F55" i="25"/>
  <c r="H55" i="25" s="1"/>
  <c r="F54" i="25"/>
  <c r="F53" i="25"/>
  <c r="F51" i="25"/>
  <c r="H41" i="25"/>
  <c r="F48" i="25"/>
  <c r="F47" i="25"/>
  <c r="F46" i="25"/>
  <c r="F45" i="25"/>
  <c r="F44" i="25"/>
  <c r="F43" i="25"/>
  <c r="F41" i="25" s="1"/>
  <c r="H40" i="25"/>
  <c r="V39" i="25"/>
  <c r="T39" i="25"/>
  <c r="F39" i="25"/>
  <c r="H39" i="25" s="1"/>
  <c r="E38" i="25"/>
  <c r="E59" i="25" s="1"/>
  <c r="D38" i="25"/>
  <c r="F37" i="25"/>
  <c r="L36" i="25"/>
  <c r="F36" i="25"/>
  <c r="H36" i="25" s="1"/>
  <c r="D34" i="25"/>
  <c r="H30" i="25"/>
  <c r="F30" i="25"/>
  <c r="F29" i="25"/>
  <c r="F28" i="25"/>
  <c r="F26" i="25"/>
  <c r="F25" i="25"/>
  <c r="F24" i="25"/>
  <c r="F23" i="25"/>
  <c r="F22" i="25"/>
  <c r="H22" i="25" s="1"/>
  <c r="F21" i="25"/>
  <c r="F20" i="25"/>
  <c r="H20" i="25" s="1"/>
  <c r="E32" i="27"/>
  <c r="D18" i="25"/>
  <c r="D59" i="25" s="1"/>
  <c r="D32" i="27" s="1"/>
  <c r="T17" i="25"/>
  <c r="R17" i="25"/>
  <c r="L17" i="25"/>
  <c r="H15" i="25"/>
  <c r="G15" i="25"/>
  <c r="F15" i="25"/>
  <c r="H12" i="25"/>
  <c r="F11" i="25"/>
  <c r="H11" i="25" s="1"/>
  <c r="F10" i="25"/>
  <c r="F9" i="25"/>
  <c r="H9" i="25" s="1"/>
  <c r="V8" i="25"/>
  <c r="R8" i="25"/>
  <c r="F8" i="25"/>
  <c r="F23" i="24"/>
  <c r="E23" i="24"/>
  <c r="D23" i="24"/>
  <c r="F20" i="24"/>
  <c r="Q15" i="24"/>
  <c r="F14" i="24"/>
  <c r="S13" i="24"/>
  <c r="Q13" i="24"/>
  <c r="O13" i="24"/>
  <c r="H13" i="24"/>
  <c r="F13" i="24"/>
  <c r="F11" i="24" s="1"/>
  <c r="F10" i="24"/>
  <c r="H10" i="24" s="1"/>
  <c r="F9" i="24"/>
  <c r="I7" i="24"/>
  <c r="E7" i="24"/>
  <c r="D7" i="24"/>
  <c r="D28" i="24" s="1"/>
  <c r="D31" i="27" s="1"/>
  <c r="D357" i="34"/>
  <c r="D356" i="34"/>
  <c r="K336" i="34"/>
  <c r="J336" i="34"/>
  <c r="M325" i="34"/>
  <c r="H18" i="25" s="1"/>
  <c r="K320" i="34"/>
  <c r="J320" i="34"/>
  <c r="K317" i="34"/>
  <c r="J317" i="34"/>
  <c r="M314" i="34"/>
  <c r="K314" i="34"/>
  <c r="J314" i="34"/>
  <c r="M311" i="34"/>
  <c r="K311" i="34"/>
  <c r="J311" i="34"/>
  <c r="M308" i="34"/>
  <c r="I28" i="25" s="1"/>
  <c r="H28" i="25" s="1"/>
  <c r="K308" i="34"/>
  <c r="M305" i="34"/>
  <c r="J305" i="34"/>
  <c r="K303" i="34"/>
  <c r="J303" i="34"/>
  <c r="K301" i="34"/>
  <c r="J301" i="34"/>
  <c r="K299" i="34"/>
  <c r="J299" i="34"/>
  <c r="M296" i="34"/>
  <c r="I27" i="25" s="1"/>
  <c r="H27" i="25" s="1"/>
  <c r="J296" i="34"/>
  <c r="M293" i="34"/>
  <c r="M290" i="34"/>
  <c r="K290" i="34"/>
  <c r="M284" i="34"/>
  <c r="K284" i="34"/>
  <c r="J284" i="34"/>
  <c r="K281" i="34"/>
  <c r="J281" i="34"/>
  <c r="M278" i="34"/>
  <c r="K277" i="34"/>
  <c r="I276" i="34"/>
  <c r="G49" i="26" s="1"/>
  <c r="H49" i="26" s="1"/>
  <c r="D276" i="34"/>
  <c r="M274" i="34"/>
  <c r="K274" i="34"/>
  <c r="J274" i="34"/>
  <c r="M271" i="34"/>
  <c r="K271" i="34"/>
  <c r="J271" i="34"/>
  <c r="I268" i="34"/>
  <c r="M268" i="34" s="1"/>
  <c r="M265" i="34"/>
  <c r="I265" i="34"/>
  <c r="J265" i="34" s="1"/>
  <c r="J262" i="34"/>
  <c r="M259" i="34"/>
  <c r="I25" i="25" s="1"/>
  <c r="H25" i="25" s="1"/>
  <c r="M256" i="34"/>
  <c r="K256" i="34"/>
  <c r="J256" i="34"/>
  <c r="M253" i="34"/>
  <c r="M250" i="34"/>
  <c r="K250" i="34"/>
  <c r="M248" i="34"/>
  <c r="K247" i="34"/>
  <c r="J247" i="34"/>
  <c r="K246" i="34"/>
  <c r="J246" i="34"/>
  <c r="D245" i="34"/>
  <c r="I243" i="34"/>
  <c r="D243" i="34"/>
  <c r="M235" i="34"/>
  <c r="K235" i="34"/>
  <c r="J235" i="34"/>
  <c r="K232" i="34"/>
  <c r="M230" i="34"/>
  <c r="K230" i="34"/>
  <c r="J230" i="34"/>
  <c r="K224" i="34"/>
  <c r="D224" i="34"/>
  <c r="M224" i="34" s="1"/>
  <c r="K223" i="34"/>
  <c r="D223" i="34"/>
  <c r="J223" i="34" s="1"/>
  <c r="H218" i="34"/>
  <c r="K218" i="34" s="1"/>
  <c r="D218" i="34"/>
  <c r="M218" i="34" s="1"/>
  <c r="K210" i="34"/>
  <c r="D210" i="34"/>
  <c r="L210" i="34" s="1"/>
  <c r="I209" i="34"/>
  <c r="G24" i="27" s="1"/>
  <c r="K208" i="34"/>
  <c r="J208" i="34"/>
  <c r="M207" i="34"/>
  <c r="M206" i="34"/>
  <c r="D205" i="34"/>
  <c r="K204" i="34"/>
  <c r="M203" i="34"/>
  <c r="K203" i="34"/>
  <c r="J203" i="34"/>
  <c r="M202" i="34"/>
  <c r="K202" i="34"/>
  <c r="J202" i="34"/>
  <c r="M201" i="34"/>
  <c r="K201" i="34"/>
  <c r="J201" i="34"/>
  <c r="M200" i="34"/>
  <c r="K200" i="34"/>
  <c r="J200" i="34"/>
  <c r="M199" i="34"/>
  <c r="K199" i="34"/>
  <c r="J199" i="34"/>
  <c r="J198" i="34"/>
  <c r="M197" i="34"/>
  <c r="K197" i="34"/>
  <c r="H196" i="34"/>
  <c r="K196" i="34" s="1"/>
  <c r="D196" i="34"/>
  <c r="D195" i="34" s="1"/>
  <c r="J185" i="34"/>
  <c r="J182" i="34"/>
  <c r="D178" i="34"/>
  <c r="J178" i="34" s="1"/>
  <c r="M175" i="34"/>
  <c r="J175" i="34"/>
  <c r="M172" i="34"/>
  <c r="I21" i="25" s="1"/>
  <c r="J172" i="34"/>
  <c r="D169" i="34"/>
  <c r="M169" i="34" s="1"/>
  <c r="K166" i="34"/>
  <c r="D166" i="34"/>
  <c r="M166" i="34" s="1"/>
  <c r="D165" i="34"/>
  <c r="D163" i="34"/>
  <c r="K162" i="34"/>
  <c r="D162" i="34"/>
  <c r="D147" i="34"/>
  <c r="J147" i="34" s="1"/>
  <c r="L146" i="34"/>
  <c r="K146" i="34"/>
  <c r="J146" i="34"/>
  <c r="I145" i="34"/>
  <c r="J145" i="34" s="1"/>
  <c r="K131" i="34"/>
  <c r="J131" i="34"/>
  <c r="K130" i="34"/>
  <c r="J130" i="34"/>
  <c r="I129" i="34"/>
  <c r="K128" i="34"/>
  <c r="J128" i="34"/>
  <c r="L117" i="34"/>
  <c r="K117" i="34"/>
  <c r="K115" i="34"/>
  <c r="J115" i="34"/>
  <c r="K111" i="34"/>
  <c r="J108" i="34"/>
  <c r="I97" i="34"/>
  <c r="K96" i="34"/>
  <c r="J96" i="34"/>
  <c r="I94" i="34"/>
  <c r="D94" i="34"/>
  <c r="D358" i="34" s="1"/>
  <c r="J91" i="34"/>
  <c r="L89" i="34"/>
  <c r="K89" i="34"/>
  <c r="J89" i="34"/>
  <c r="M87" i="34"/>
  <c r="K87" i="34"/>
  <c r="J87" i="34"/>
  <c r="K86" i="34"/>
  <c r="J86" i="34"/>
  <c r="I85" i="34"/>
  <c r="J85" i="34" s="1"/>
  <c r="K84" i="34"/>
  <c r="J84" i="34"/>
  <c r="D83" i="34"/>
  <c r="K76" i="34"/>
  <c r="J76" i="34"/>
  <c r="D70" i="34"/>
  <c r="K67" i="34"/>
  <c r="J67" i="34"/>
  <c r="K62" i="34"/>
  <c r="J62" i="34"/>
  <c r="J58" i="34"/>
  <c r="K55" i="34"/>
  <c r="J55" i="34"/>
  <c r="L51" i="34"/>
  <c r="K40" i="34"/>
  <c r="J36" i="34"/>
  <c r="K32" i="34"/>
  <c r="J32" i="34"/>
  <c r="K26" i="34"/>
  <c r="J26" i="34"/>
  <c r="J24" i="34"/>
  <c r="K21" i="34"/>
  <c r="J21" i="34"/>
  <c r="D19" i="34"/>
  <c r="L18" i="34"/>
  <c r="K18" i="34"/>
  <c r="J16" i="34"/>
  <c r="L14" i="34"/>
  <c r="K14" i="34"/>
  <c r="J14" i="34"/>
  <c r="K10" i="34"/>
  <c r="J10" i="34"/>
  <c r="J7" i="34"/>
  <c r="K6" i="34"/>
  <c r="J6" i="34"/>
  <c r="I5" i="34"/>
  <c r="D5" i="34"/>
  <c r="H45" i="26" l="1"/>
  <c r="G46" i="26"/>
  <c r="H46" i="26" s="1"/>
  <c r="J243" i="34"/>
  <c r="K243" i="34"/>
  <c r="K97" i="34"/>
  <c r="J97" i="34"/>
  <c r="H47" i="25"/>
  <c r="F18" i="25"/>
  <c r="F38" i="25"/>
  <c r="G11" i="27"/>
  <c r="H42" i="26"/>
  <c r="H39" i="26" s="1"/>
  <c r="F6" i="26"/>
  <c r="F53" i="26" s="1"/>
  <c r="F33" i="27" s="1"/>
  <c r="H9" i="26"/>
  <c r="D37" i="27"/>
  <c r="F6" i="25"/>
  <c r="H8" i="25"/>
  <c r="F34" i="25"/>
  <c r="G41" i="25"/>
  <c r="G32" i="27" s="1"/>
  <c r="F7" i="24"/>
  <c r="K245" i="34"/>
  <c r="K5" i="34"/>
  <c r="G36" i="26"/>
  <c r="H36" i="26" s="1"/>
  <c r="J94" i="34"/>
  <c r="K145" i="34"/>
  <c r="G31" i="26"/>
  <c r="H31" i="26" s="1"/>
  <c r="D168" i="34"/>
  <c r="J168" i="34" s="1"/>
  <c r="J169" i="34"/>
  <c r="H21" i="25"/>
  <c r="G9" i="24"/>
  <c r="G34" i="26"/>
  <c r="H34" i="26" s="1"/>
  <c r="J129" i="34"/>
  <c r="G30" i="26"/>
  <c r="H30" i="26" s="1"/>
  <c r="F31" i="27"/>
  <c r="G11" i="24"/>
  <c r="G28" i="24" s="1"/>
  <c r="E28" i="24"/>
  <c r="E31" i="27" s="1"/>
  <c r="E37" i="27" s="1"/>
  <c r="F14" i="27"/>
  <c r="F34" i="27" s="1"/>
  <c r="I34" i="27"/>
  <c r="H6" i="25"/>
  <c r="H33" i="26"/>
  <c r="H43" i="26"/>
  <c r="I41" i="25"/>
  <c r="H23" i="27"/>
  <c r="I6" i="26"/>
  <c r="H29" i="25"/>
  <c r="H21" i="26"/>
  <c r="H14" i="26"/>
  <c r="I19" i="34"/>
  <c r="I23" i="24"/>
  <c r="J195" i="34"/>
  <c r="D359" i="34"/>
  <c r="D361" i="34" s="1"/>
  <c r="D362" i="34" s="1"/>
  <c r="J5" i="34"/>
  <c r="K85" i="34"/>
  <c r="K129" i="34"/>
  <c r="K168" i="34"/>
  <c r="M178" i="34"/>
  <c r="J196" i="34"/>
  <c r="K209" i="34"/>
  <c r="J209" i="34"/>
  <c r="K265" i="34"/>
  <c r="K268" i="34"/>
  <c r="D354" i="34"/>
  <c r="D360" i="34" s="1"/>
  <c r="G11" i="26"/>
  <c r="G6" i="26" s="1"/>
  <c r="J166" i="34"/>
  <c r="J268" i="34"/>
  <c r="J20" i="34"/>
  <c r="K147" i="34"/>
  <c r="D145" i="34"/>
  <c r="F37" i="27" l="1"/>
  <c r="J19" i="34"/>
  <c r="G6" i="27"/>
  <c r="H11" i="27"/>
  <c r="H6" i="27" s="1"/>
  <c r="G43" i="26"/>
  <c r="G33" i="27" s="1"/>
  <c r="G28" i="26"/>
  <c r="H28" i="26"/>
  <c r="G7" i="24"/>
  <c r="H7" i="24"/>
  <c r="I18" i="25"/>
  <c r="I32" i="27" s="1"/>
  <c r="H11" i="26"/>
  <c r="H6" i="26" s="1"/>
  <c r="J83" i="34"/>
  <c r="I33" i="27"/>
  <c r="I11" i="24"/>
  <c r="I28" i="24" s="1"/>
  <c r="D350" i="34"/>
  <c r="D352" i="34" s="1"/>
  <c r="D353" i="34" s="1"/>
  <c r="I31" i="27" l="1"/>
  <c r="G14" i="27"/>
  <c r="G30" i="27" s="1"/>
  <c r="G34" i="27" s="1"/>
  <c r="G31" i="27" l="1"/>
  <c r="G37" i="27" s="1"/>
  <c r="H37" i="27" s="1"/>
  <c r="L340" i="34" l="1"/>
  <c r="L368" i="34" l="1"/>
  <c r="L370" i="34"/>
  <c r="L343" i="34"/>
  <c r="L346" i="34" s="1"/>
  <c r="L348" i="34" s="1"/>
  <c r="H14" i="27" l="1"/>
</calcChain>
</file>

<file path=xl/sharedStrings.xml><?xml version="1.0" encoding="utf-8"?>
<sst xmlns="http://schemas.openxmlformats.org/spreadsheetml/2006/main" count="1160" uniqueCount="648">
  <si>
    <t>รายละเอียดกิจกรรม</t>
  </si>
  <si>
    <t>หน่วยงานรับผิดชอบ</t>
  </si>
  <si>
    <t>งบดำเนินงาน</t>
  </si>
  <si>
    <t>งบลงทุน</t>
  </si>
  <si>
    <t>กิจกรรมหลัก  ฟื้นฟูและพัฒนาแหล่งท่องเที่ยวของจังหวัดพระนครศรีอยุธยา</t>
  </si>
  <si>
    <t>โครงการส่งเสริมการพัฒนาและฟื้นฟูแหล่งท่องเที่ยว</t>
  </si>
  <si>
    <t>กิจกรรมย่อย ปรับปรุงซ่อมแซมศูนย์ศึกษาประวัติศาสตร์อยุธยา</t>
  </si>
  <si>
    <t>โครงการส่งเสริมกิจกรรมการท่องเที่ยวของจังหวัดพระนครศรีอยุธยา</t>
  </si>
  <si>
    <t>กิจกรรมย่อย วันมวยไทยนายขนมต้ม</t>
  </si>
  <si>
    <t>กิจกรรมย่อย สานสัมพันธ์กับนานาชาติ เพื่อเชื่อมโยงประวัติศาสตร์จังหวัดพระนครศรีอยุธยา</t>
  </si>
  <si>
    <t>ท่องเที่ยวและกีฬาจังหวัด</t>
  </si>
  <si>
    <t>กิจกรรมย่อย ยอยศยิ่งฟ้าอยุธยามรดกโลก</t>
  </si>
  <si>
    <t>กิจกรรมย่อย ไหว้พระรับพร ชมละคร นอนอยุธยา</t>
  </si>
  <si>
    <t>วัฒนธรรมจังหวัด</t>
  </si>
  <si>
    <t>โครงการตามแผนชุมชน ด้านเศรษฐกิจเพื่อส่งเสริมการท่องเที่ยว</t>
  </si>
  <si>
    <t>กิจกรรมหลัก  ส่งเสริมการท่องเที่ยวเพื่อสร้างรายได้ให้ชุมชน</t>
  </si>
  <si>
    <t>อ.นครหลวง</t>
  </si>
  <si>
    <t>กิจกรรมย่อย จัดงานประเพณีแห่เทียนพรรษาทางน้ำ อำเภอเสนา</t>
  </si>
  <si>
    <t>อ.เสนา</t>
  </si>
  <si>
    <t>อ.พระนครศรีอยุธยา</t>
  </si>
  <si>
    <t>กิจกรรมหลัก  ฟื้นฟูและพัฒนาแหล่งน้ำ</t>
  </si>
  <si>
    <t>โครงการชลประทาน</t>
  </si>
  <si>
    <t>พลังงานจังหวัด</t>
  </si>
  <si>
    <t>กิจกรรมหลัก  การลดต้นทุนการผลิตและส่งเสริมอาชีพการเกษตรเพื่อสร้างรายได้ให้ชุมชน</t>
  </si>
  <si>
    <t>กิจกรรมย่อย เพิ่มประสิทธิภาพการผลิตที่ปลอดภัย</t>
  </si>
  <si>
    <t>โครงการส่งเสริมการเชิดชูสถาบันพระมหากษัตริย์ และการสร้างความปรองดองสมานฉันท์</t>
  </si>
  <si>
    <t xml:space="preserve">กิจกรรมหลัก เสริมสร้างความปรองดองสมานฉันท์และการเชิดชูสถาบันพระมหากษัตริย์ </t>
  </si>
  <si>
    <t>โครงการตามแผนชุมชน ด้านสังคม</t>
  </si>
  <si>
    <t>กิจกรรมหลัก  ปรับปรุงโครงสร้างพื้นฐานในชุมชน</t>
  </si>
  <si>
    <t>โครงการเพิ่มประสิทธิภาพการจัดการด้านภัยพิบัติและด้านความมั่นคง</t>
  </si>
  <si>
    <t>ศอ.ปส.จ.อย</t>
  </si>
  <si>
    <t>วัสดุเชื้อเพลิงและหล่อลื่น</t>
  </si>
  <si>
    <t>กิจกรรมย่อย เพิ่มสมรรถนะการจัดการขยะมูลฝอยและของเสียอันตราย</t>
  </si>
  <si>
    <t>โครงการบริหารจัดการพื้นที่แบบครบวงจรของจังหวัดพระนครศรีอยุธยา</t>
  </si>
  <si>
    <t>วัสดุสำนักงาน</t>
  </si>
  <si>
    <t>กิจกรรมย่อย รวมพลังมวลชนเพื่อสร้างความปรองดองสมานฉันท์</t>
  </si>
  <si>
    <t>กิจกรรมย่อย ค่ายครอบครัวล้อมรัก</t>
  </si>
  <si>
    <t>สนจ.อย.</t>
  </si>
  <si>
    <t>กิจกรรมย่อย มหกรรมสินค้าเกษตรปลอดภัย</t>
  </si>
  <si>
    <t>เกษตรจังหวัด</t>
  </si>
  <si>
    <t>กิจกรรมย่อย การผลิตกุ้งแม่น้ำปลอดภัย</t>
  </si>
  <si>
    <t>ประมงจังหวัด</t>
  </si>
  <si>
    <t>กิจกรรมย่อย ปล่อยน้ำเข้านาปล่อยปลาเข้าทุ่ง</t>
  </si>
  <si>
    <t>โครงการส่งเสริมการสร้างผลิตภัณฑ์ชุมชนโดยใช้ภูมิปัญญาท้องถิ่น และนวัตกรรมสู่สากล</t>
  </si>
  <si>
    <t>กิจกรรมหลัก  พัฒนาผลิตภัณฑ์ชุมชนแบบครบวงจร</t>
  </si>
  <si>
    <t>โครงการยกระดับศักยภาพกำลังคน ภาคการผลิต การค้า และบริการให้เป็นมืออาชีพ</t>
  </si>
  <si>
    <t>กิจกรรมหลัก ยกระดับศักยภาพแรงงาน</t>
  </si>
  <si>
    <t>ที่ทำการปกครองจังหวัด</t>
  </si>
  <si>
    <t>ที่</t>
  </si>
  <si>
    <t>พาณิชย์จังหวัด</t>
  </si>
  <si>
    <t>พัฒนาชุมชนจังหวัด</t>
  </si>
  <si>
    <t>โครงการส่งเสริมการดำเนินงานตามหลักปรัชญาเศรษฐกิจพอเพียง และขยายผลโครงการอันเนื่องมาจากพระราชดำริ</t>
  </si>
  <si>
    <t>กิจกรรมหลัก ขยายผลโครงการอันเนื่องมาจากพระราชดำริและส่งเสริมการดำเนินงานตามหลักปรัชญาเศรษฐกิจพอเพียง</t>
  </si>
  <si>
    <t>กิจกรรมย่อย ขยายผลโครงการเกษตรเพื่ออาหารกลางวัน</t>
  </si>
  <si>
    <t>กิจกรรมย่อย พัฒนาการผลิตข้าวในพื้นที่แปลงนาส่วนพระองค์</t>
  </si>
  <si>
    <t>กิจกรรมย่อย ส่งเสริมและพัฒนาสวนพุทราประวัติศาสตร์กรุงศรีอยุธยา</t>
  </si>
  <si>
    <t>กิจกรรมย่อย พัฒนาและเชื่อมโยงศูนย์การเรียนรู้เศรษฐกิจพอเพียง</t>
  </si>
  <si>
    <t>โครงการตามแผนชุมชน ด้านเศรษฐกิจเพื่อส่งเสริมการเกษตร</t>
  </si>
  <si>
    <t>อำเภอผักไห่</t>
  </si>
  <si>
    <t>กิจกรรมย่อย ก่อสร้างระบบน้ำเพื่อนำน้ำเข้าสู่พื้นที่เกษตร (ระบบท่อ)</t>
  </si>
  <si>
    <t>อำเภอบางปะหัน</t>
  </si>
  <si>
    <t>อำเภอลาดบัวหลวง</t>
  </si>
  <si>
    <t>อำเภอมหาราช</t>
  </si>
  <si>
    <t>อำเภอเสนา</t>
  </si>
  <si>
    <t>อำเภอบ้านแพรก</t>
  </si>
  <si>
    <t>อำเภอพระนครศรีอยุธยา</t>
  </si>
  <si>
    <t xml:space="preserve"> โครงการพัฒนาสังคมและยกระดับความเป็นอยู่ของประชาชน</t>
  </si>
  <si>
    <t>กิจกรรมหลัก การพัฒนาโครงสร้างพื้นฐานเพื่อความมั่นคงในชีวิต</t>
  </si>
  <si>
    <t>สาธารณสุขจังหวัด</t>
  </si>
  <si>
    <t>- เครื่องพ่นยา 80 เครื่อง</t>
  </si>
  <si>
    <t>- รถเข็นนั่งถ่าย 80 คัน</t>
  </si>
  <si>
    <t>- เก้าอี้นั่งถ่าย 80 ตัว</t>
  </si>
  <si>
    <t>- รถเข็นชนิดนั่ง 80 คัน</t>
  </si>
  <si>
    <t>- เตียงนอนปรับระดับ 2 ไกร 80 เตียง</t>
  </si>
  <si>
    <t>- ที่นอนโฟมกันแผลกดทับ 80 อัน</t>
  </si>
  <si>
    <t xml:space="preserve">กิจกรรมย่อย ส่งเสริมกิจกรรมโรงเรียนผู้สูงอายุ   </t>
  </si>
  <si>
    <t>พมจ.อย</t>
  </si>
  <si>
    <t>โครงการ "เนรมิตอยุธยา" เพื่อความน่าอยู่และ การท่องเที่ยวอย่างยั่งยืน</t>
  </si>
  <si>
    <t>ผลผลิต : การพัฒนาด้านสังคม</t>
  </si>
  <si>
    <t>แนวทางพัฒนาด้านสังคม ยกระดับคุณภาพชีวิตและสิ่งแวดล้อม</t>
  </si>
  <si>
    <t>ผลผลิต : การพัฒนาด้านเศรษฐกิจ</t>
  </si>
  <si>
    <t>แนวทางโครงการพัฒนาพิเศษขนาดใหญ่</t>
  </si>
  <si>
    <t>กิจกรรมหลัก  พัฒนาแหล่งท่องเที่ยวเมืองมรดกโลก</t>
  </si>
  <si>
    <t>กิจกรรมย่อย ฟื้นฟูและปรับปรุงคลองเมืองพระนครศรีอยุธยา</t>
  </si>
  <si>
    <t>กิจกรรมหลัก  การรักษาความปลอดภัยและอำนวยความสะดวก</t>
  </si>
  <si>
    <t>ตำรวจภูธรจังหวัด</t>
  </si>
  <si>
    <t>กิจกรรมย่อย ป้ายจราจรเพื่อบังคับใช้กฎหมายรักษาวินัยจราจร</t>
  </si>
  <si>
    <t>กิจกรรมย่อย บังคับใช้กฎหมายจราจรโดยใช้เทคโนโลยี</t>
  </si>
  <si>
    <t>สำนักงานจังหวัด</t>
  </si>
  <si>
    <t>กิจกรรมย่อย  อยุธยาเฟสติวัล : มหกรรมดนตรีศรีอยุธยาวัฒนธรรมไพร่ฟ้าแห่งแผ่นดิน</t>
  </si>
  <si>
    <t>- ค่าจ้างเหมาบริการจัดกิจกรรมแลกเปลี่ยนวัฒนธรรมเมืองคู่มิตร
จังหวัดพระนครศรีอยุธยากับเมืองเกียวโต</t>
  </si>
  <si>
    <t>โครงการส่งเสริมการเกษตรที่มีคุณภาพได้มาตรฐานอาหารปลอดภัยแบบครบวงจร</t>
  </si>
  <si>
    <t>ลงนามในสัญญา</t>
  </si>
  <si>
    <t>เริ่มต้น</t>
  </si>
  <si>
    <t>สิ้นสุด</t>
  </si>
  <si>
    <t>วงเงินในสัญญา</t>
  </si>
  <si>
    <t>ผลการเบิกจ่าย</t>
  </si>
  <si>
    <t>เบิกจ่าย</t>
  </si>
  <si>
    <t>ร้อยละ</t>
  </si>
  <si>
    <t>คงเหลือ</t>
  </si>
  <si>
    <t>เงินเหลือจ่าย
(งบประจำ)</t>
  </si>
  <si>
    <t>เงินเหลือจ่าย
(งบลงทุน)</t>
  </si>
  <si>
    <t>ผลการดำเนินงาน</t>
  </si>
  <si>
    <t>- ค่าจ้างเหมาบริการจัดงานแสดงและจำหน่ายสินค้าภูมิภาคสานสัมพันธ์อยุธยา-นานาชาติ ในงานยอยศยิ่งฟ้าอยุธยามรดกโลก  เป็นเงิน 1,300,000 บาท</t>
  </si>
  <si>
    <t>สนง.พาณิชย์จังหวัด</t>
  </si>
  <si>
    <t>สนง.ท่องเที่ยวลและกีฬาจังหวัด</t>
  </si>
  <si>
    <t>สนง.วัฒนธรรมจังหวัด</t>
  </si>
  <si>
    <t>-ค่าจ้างเหมาบริการจัดงาน "เทศกาลท่องเที่ยว อยุธยา-เกียวโต" ในงานยอยศยิ่งฟ้าอยุธยา มรดกโลก 
ประจำปี 2560 เป็นเงิน 400,000 บาท</t>
  </si>
  <si>
    <t>-ค่าจ้างเหมาบริการจัดงานแลกเปลี่ยนวัฒนธรรมระหว่างจังหวัดพระนครศรีอยุธยากับนานาชาติ
ในงานยอยศยิ่งฟ้าอยุธยามรดกโลก ประจำปี 2560 เป็นเงิน 300,000 บาท</t>
  </si>
  <si>
    <t>ผลผลิต : เนรมิตอยุธยาเพื่อความน่าอยู่และท่องเที่ยวอย่างยั่งยืน</t>
  </si>
  <si>
    <t>ค่าใช้จ่ายการบริหารงานจังหวัดแบบบูรณาการ ( CEO )</t>
  </si>
  <si>
    <t>- ค่าใช้จ่ายในการจัดทำอาหารว่างและเครื่องดื่มในการประชุมคณะกรรมการ/คณะทำงาน
ขับเคลื่อนโครงการ</t>
  </si>
  <si>
    <t xml:space="preserve">   สนจ.อย./สนง.ปชส.</t>
  </si>
  <si>
    <t>ผลผลิต : การบริหารทรัพยากรธรรมชาติและสิ่งแวดล้อม</t>
  </si>
  <si>
    <t>อำเภอบางไทร</t>
  </si>
  <si>
    <t xml:space="preserve">ค่าที่ดินและสิ่งก่อสร้าง
- ซ่อมแซมถนนคอนกรีตเสริมเหล็กสายคันกั้นน้ำชลประทาน หมู่ที่ 4-5 ตำบลบางไทร อำเภอบางไทร จังหวัดพระนครศรีอยุธยา </t>
  </si>
  <si>
    <t>อำเภอบางซ้าย</t>
  </si>
  <si>
    <t xml:space="preserve">กิจกรรมย่อย  ก่อสร้างถนนคอนกรีตเสริมเหล็ก หมู่ที่ 6  ต.ดอนลาน </t>
  </si>
  <si>
    <t xml:space="preserve">ค่าที่ดินและสิ่งก่อสร้าง
- ก่อสร้างถนนคอนกรีตเสริมเหล็ก หมู่ที่ 6 ตำบลดอนลาน  อำเภอผักไห่ จังหวัดพระนครศรีอยุธยา </t>
  </si>
  <si>
    <t>ประเด็นยุทธศาสตร์ที่ 3 พัฒนาภาคการผลิต การค้าและบริการ โดยใช้นวัตกรรม  และภูมิปัญญาที่สร้างสรรค์</t>
  </si>
  <si>
    <t xml:space="preserve">กิจกรรมย่อย ก่อสร้างระบบคูน้ำเพื่อการกระจายน้ำสู่พื้นที่แปลงใหญ่ </t>
  </si>
  <si>
    <t>กิจกรรมย่อย การเกษตรเพื่ออาหารกลางวันตามแนวพระราชดำริสมเด็จพระเทพรัตนราชสุดา สยามบรมราชกุมารี</t>
  </si>
  <si>
    <t>สพป.อย เขต1</t>
  </si>
  <si>
    <t>ที่ดินและสิ่งก่อสร้าง</t>
  </si>
  <si>
    <t>2. ปั้มน้ำหอยโข่ง ศก. 3 นิ้ว 3 HD 380 โวล์</t>
  </si>
  <si>
    <t>3. ครื่องพ่นยาแบบสะพายหลัง 4 จังหวะ</t>
  </si>
  <si>
    <t>4. เครื่องสีข้าว ข้าวกล้อง และข้าวขาว</t>
  </si>
  <si>
    <t>5. เครื่องซีลถุงสูญญากาศ</t>
  </si>
  <si>
    <t>สพป.อย เขต2</t>
  </si>
  <si>
    <t>กิจกรรมย่อย  สานพลังประชารัฐ ยกระดับศักยภาพกำลังคน ภาคการผลิต การค้า และภาคบริการรองรับการเข้าสู่ Thailand 4.0</t>
  </si>
  <si>
    <t>สถาบันพัฒนาฝีมือ
แรงงาน 15</t>
  </si>
  <si>
    <t>กิจกรรมย่อย  ส่งเสริมการปลูกพืชใช้น้ำน้อยตามแนวทางปรัชญาเศรษฐกิจพอเพียง</t>
  </si>
  <si>
    <t>กิจกรรมย่อย  ก่อสร้างลานตากพืชผลทางการเกษตรเพื่อชุมชน</t>
  </si>
  <si>
    <t>กิจกรรมย่อย  การบริหารจัดการ  SME จังหวัดพระนครศรีอยุธยา</t>
  </si>
  <si>
    <t xml:space="preserve">ค่าที่ดินและสิ่งก่อสร้าง
-  ก่อสร้างถนน คสล. (ฝั่งเหนือ) บริเวณปากทางสายอยุธยา-สุพรรณบุรี ไปถึงสะพานปูน ม.5 ตำบลบางซ้าย อำเภอบางซ้าย </t>
  </si>
  <si>
    <t>กิจกรรมย่อย ส่งเสริมอาชีพทางเลือกเพื่อพัฒนาเกษตรกร</t>
  </si>
  <si>
    <t>ดำเนินการแล้วเสร็จ</t>
  </si>
  <si>
    <t>กิจกรรมย่อย แข่งขันเรือยาวประเพณีชิงถ้วยพระราชทาน
สมเด็จพระเจ้าอยู่หัว</t>
  </si>
  <si>
    <t>กิจกรรมย่อย ส่งเสริมการประชาสัมพันธ์ด้านการท่องเที่ยวของ
จังหวัดพระนครศรีอยุธยา</t>
  </si>
  <si>
    <t>กิจกรรมย่อยผลิตและเผยแพร่ภาพยนตร์สารคดีเพื่อการเรียนรู้
เมืองมรดกโลก</t>
  </si>
  <si>
    <t>กิจกรรมย่อย ก่อสร้างถนนคอนกรีตเสริมเหล็กทางเข้าวัดกระซ้ายเพื่อส่งเสริมการท่องเที่ยว</t>
  </si>
  <si>
    <t>ค่าที่ดินและสิ่งก่อสร้าง
- ก่อสร้างตลาดวิถีชุมชนคนทำมีดอรัญญิก หมู่ 6 ตำบลท่าช้าง 
อำเภอนครหลวง จังหวัดพระนครศรีอยุธยา 1 แห่ง</t>
  </si>
  <si>
    <t>ค่าที่ดินและสิ่งก่อสร้าง
- ปรับปรุงซ่อมแซมถนนคอนกรีตเสริมเหล็ก หมู่ที่ 4 ตำบลนาคู 
อำเภอผักไห่ จังหวัดพระนครศรีอยุธยา</t>
  </si>
  <si>
    <t>ค่าที่ดินและสิ่งก่อสร้าง
- ปรับปรุงซ่อมแซมถนนคอนกรีตเสริมเหล็ก หมู่ที่ 5 ตำบลลำตะเคียน อำเภอผักไห่ จังหวัดพระนครศรีอยุธยา</t>
  </si>
  <si>
    <t>ค่าที่ดินและสิ่งก่อสร้าง
- ปรับปรุงซ่อมแซมถนนคอนกรีตเสริมเหล็ก หมู่ที่ 3 ตำบลจักราช 
อำเภอผักไห่ จังหวัดพระนครศรีอยุธยา</t>
  </si>
  <si>
    <t xml:space="preserve">1. ก่อสร้างโรงเรือนพร้อมอุปกรณ์ทำด้วยโครงเหล็ก โรงเรียนวัดสามเรือน ตำบลสามเรือน อำเภอบางปะอิน จังหวัดพรนครศรีอยุธยา </t>
  </si>
  <si>
    <t xml:space="preserve">2. ก่อสร้างหลังคาทางเดินหน้าอาคารเรียน โรงเรียนเปรมปรีชา 
ตำบลเชียงรากน้อย  อำเภอบางปะอิน จังหวัดพระนครศรีอยุธยา </t>
  </si>
  <si>
    <t xml:space="preserve">3. ก่อสร้างหลังคาสนามเด็กเล่น โรงเรียนเปรมปรีชา ตำบลเชียงรากน้อย อำเภอบางปะอิน จังหวัดพระนครศรีอยุธยา </t>
  </si>
  <si>
    <t xml:space="preserve">4. ก่อสร้างโรงเรือนเลี้ยงไก่ไข่ โรงเรียนสอนดี (ประชารัฐอนุสรณ์) 
ตำบลพระยาบันลือ อำเภอลาดบัวหลวง จังหวัดพระนครศรีอยุธยา </t>
  </si>
  <si>
    <t>5. ก่อสร้างโรงเรือนปลูกผักกางมุ้งหลังคาโครงเหล็ก โรงเรียนวัดสนามไชย ตำบลสนามชัย อำเภอบางไทร จังหวัดพระนครศรีอยุธยา</t>
  </si>
  <si>
    <t>6. ก่อสร้างโรงเรือนเพาะเห็ด โรงเรียนวัดตลาด(อุดมวิทยา) 
ตำบลตลาดเกรียบ  อำเภอบางปะอิน จังหวัดพระนครศรีอยุธยา</t>
  </si>
  <si>
    <t xml:space="preserve">7. ก่อสร้างโรงเปิดเชื้อเห็ด โรงเรียนวัดเปรมปรีชา ตำบลบางกระสั้น อำเภอบางปะอิน จังหวัดพระนครศรีอยุธยา </t>
  </si>
  <si>
    <t xml:space="preserve">2. ขุดบ่อปลา ขนาด 15 เมตร ยาว 30 เมตร ลึก 1 เมตร  </t>
  </si>
  <si>
    <t xml:space="preserve">3. ปรับปรุงซ่อมแซมเล้าไก่ ขนาดกว้าง 4 เมตร ยาว 15 เมตร </t>
  </si>
  <si>
    <t xml:space="preserve">4.  โรงเรือนปลูกผัก ขนาด 5x7 เมตร  </t>
  </si>
  <si>
    <t xml:space="preserve">5. ปรับปรุงโรงเพาะเห็ด ขนาด 6x7 เมตร </t>
  </si>
  <si>
    <t xml:space="preserve">6. ปรับปรุงโรงเรือนไก่ไข่ ขนาด 6x8 เมตร </t>
  </si>
  <si>
    <t xml:space="preserve">7. ปรับปรุงบ่อปลา ขนาด 15x20 เมตร </t>
  </si>
  <si>
    <t>8. ปรับปรุงส่วนพืชสวนพืชสมุนไพร วางท่อระบายน้ำยาว 40 เมตร</t>
  </si>
  <si>
    <t>ค่าที่ดินและสิ่งก่อสร้าง
- ก่อสร้างถนนคอนกรีตเสริมเหล็กทางเข้าวัดกระซ้าย กว้าง 4 เมตร 
ยาว 350 เมตร หนาเฉลี่ย 0.15 เมตร หรือพื้นที่ไม่น้อยกว่า 1,400 ตร.ม. อำเภอพระนครศรีอยุธยา จังหวัดพระนครศรีอยุธยา 1 เส้นทาง</t>
  </si>
  <si>
    <t>อยู่ระหว่างดำเนินการ</t>
  </si>
  <si>
    <t>ค่าที่ดินและสิ่งก่อสร้าง
 - ซ่อมแซมปรับปรุงอาคารศูนย์ปรับเปลี่ยนพฤติกรรม</t>
  </si>
  <si>
    <t>อยู่ระหว่างเสนออนุมัติ</t>
  </si>
  <si>
    <t xml:space="preserve">   โครงการที่ใช้เงิน  กบจ.10/2560 วันที่  27 ธ.ค. 2560</t>
  </si>
  <si>
    <t>คงเหลืองบประมาณจากยกเลิกกิจกรรม/เงินเหลือจ่าย</t>
  </si>
  <si>
    <t>กิจกรรมย่อย  จัดระเบียบป้ายในบริเวณรอบเกาะเมืองโดยรอบ
เพื่อส่งเสริมการท่องเที่ยว</t>
  </si>
  <si>
    <t>โยธาธิการและผังเมือง</t>
  </si>
  <si>
    <t>จังหวัด 
อนุมัติ</t>
  </si>
  <si>
    <t>-แผงเหล็กกั้นจราจร ขนาดกว้าง 1.00 เมตร ยาว 1.50 เมตร 250 แผง</t>
  </si>
  <si>
    <t>-แผงเหล็กกั้นจราจร กว้าง 1.00 เมตร ยาว 2.00 เมตร  250 แผง</t>
  </si>
  <si>
    <t>-ป้ายห้ามจอดแบบเคลื่อนย้ายได้  150 ป้าย</t>
  </si>
  <si>
    <t>-อุปกรณ์บังคับล้อ 200 อัน</t>
  </si>
  <si>
    <t>-แบริเออร์ ขนาดกว้าง 1.00 เมตร ยาว 0.50 เมตร สูง 0.60 เมตร 100 อัน</t>
  </si>
  <si>
    <t>-แบริเออร์ ขนาดกว้าง 1.20 เมตร ยาว 0.60 เมตร สูง 0.90 เมตร 100 อัน</t>
  </si>
  <si>
    <t>ท่องเที่ยวและกีฬา</t>
  </si>
  <si>
    <t>อยู่ระหว่างดำเนินโครงการ</t>
  </si>
  <si>
    <t>สรุปยอดเงินก่อนนำมาทำโครงการเงินเหลือจ่าย</t>
  </si>
  <si>
    <t>สรุปงบประมาณที่เป็นเงินเหลือจ่าย  (งบประจำ) + เงินเหลือจ่าย  (งบลงทุน)</t>
  </si>
  <si>
    <t>งบจังหวัด</t>
  </si>
  <si>
    <t>งบภาค</t>
  </si>
  <si>
    <t>รวมงบ</t>
  </si>
  <si>
    <t>งบจัดสรร</t>
  </si>
  <si>
    <t>ทสจ./ท้องถิ่นจังหวัด</t>
  </si>
  <si>
    <t>8. ก่อสร้างบ่อซีเมนต์เลี้ยงปลาดุก โรงเรียนวัดอนุกุญชราราม ตำบลช้างน้อย อำเภอบางไทร  จังหวัดพระนครศรีอยุธยาขนาดกว้าง</t>
  </si>
  <si>
    <t>9. ก่อสร้างบ่อซีเมนต์เลี้ยงปลาดุก โรงเรียนชุมชนวัดบางซ้ายนอก 
ตำบลเต่าเล่า อำเภอบางซ้าย จังหวัดพระนครศรีอยุธยา</t>
  </si>
  <si>
    <t xml:space="preserve">10. ก่อสร้างบ่อซีเมนต์เลี้ยงปลาดุกกั้นตาข่าย โรงเรียนวัดสามเรือน 
ตำบลสามเรือน อำเภอบางปะอิน  จังหวัดพระนครศรีอยุธยา </t>
  </si>
  <si>
    <t>11. ก่อสร้างบ่อซีเมนต์เลี้ยงปลานิล กั้นตาข่ายและระบบน้ำ 
โรงเรียนวัดสามเรือน ตำบลสามเรือน อำเภอบางปะอิน 
จังหวัดพระนครศรีอยุธยา</t>
  </si>
  <si>
    <t>12. ก่อสร้างบ่อเลี้ยงปลา ทำด้วยอิฐบล๊อกก่อฉาบปูน โรงเรียนวัดเปรมปรีชา ตำบลบางกระสั้น อำเภอบางปะอิน จังหวัดพระนครศรีอยุธยา</t>
  </si>
  <si>
    <t>คงเหลือเงินยกเลิก/เงินเหลือ</t>
  </si>
  <si>
    <t>กิจกรรมย่อย พัฒนาบรรจุภัณฑ์เพื่อส่งเสริมช่องทางการ
จำหน่ายสินค้าเกษตร</t>
  </si>
  <si>
    <t>กิจกรรมย่อย เพิ่มช่องทางการตลาด การประชาสัมพันธ์ และการส่งเสริมและขยายช่องทางการค้าสินค้าตราสัญลักษณ์ผลิตภัณฑ์
จังหวัดพระนครศรีอยุธยา</t>
  </si>
  <si>
    <t>กิจกรรมย่อย ปรับปรุงซ่อมแซมถนนคอนกรีตเสริมเหล็ก หมู่ที่ 4 
ต.ลำตะเคียน</t>
  </si>
  <si>
    <t>กิจกรรมย่อย ปรับปรุงซ่อมแซมถนนคอนกรีตเสริมเหล็ก หมู่ที่ 5 
 ต.ลำตะเคียน</t>
  </si>
  <si>
    <t xml:space="preserve">กิจกรรมย่อย ปรับปรุงซ่อมแซมถนนคอนกรีตเสริมเหล็กสาย
วัดหลวงพ่อบุญเย็น หมู่ที่ 2 ตำบลบางพลี     </t>
  </si>
  <si>
    <t xml:space="preserve">กิจกรรมย่อย ปรับปรุงซ่อมแซมถนน ASPHAL TIC CONCRETE 
สาย 15 โค้ง ช่วงบริเวณ หมู่ที่ 1 ตำบลบางไทร  </t>
  </si>
  <si>
    <t>กิจกรรมย่อย ซ่อมแซมถนนคอนกรีตเสริมเหล็กสายคันกั้นน้ำชลประทานช่วงบริเวณหมู่ที่ 4-5  ตำบลบางไทร</t>
  </si>
  <si>
    <t>กิจกรรมย่อย ตลาดวิถีชุมชนคนทำมีดอรัญญิก  อำเภอนครหลวง 
จังหวัดพระนครศรีอยุธยา</t>
  </si>
  <si>
    <t>กิจกรรมย่อย  อบรมการสื่อสารสำหรับพ่อแม่ผู้ปกครองและ
การพัฒนาเยาวชนเพื่อความเข้มแข็ง</t>
  </si>
  <si>
    <t>ผลต่าง</t>
  </si>
  <si>
    <t>สรุปงบจังหวัด</t>
  </si>
  <si>
    <t>สรุปงบประมาณที่เหลือจากโอนเปลี่ยนงบประมาณใน กบจ.</t>
  </si>
  <si>
    <t>ค่าจ้างเหมาจัด แข่งขันเรือยาวประเพณีชิงถ้วยพระราชทาน
สมเด็จพระเจ้าอยู่หัว</t>
  </si>
  <si>
    <t>ที่ได้รับอนุมัติแล้ว</t>
  </si>
  <si>
    <t>แก้ไขเอกสาร</t>
  </si>
  <si>
    <t>เข้ากบจ.</t>
  </si>
  <si>
    <t>1 กิจกรรมย่อย</t>
  </si>
  <si>
    <t>ที่ได้รับอนุมัติแล้ว (งบภาค)</t>
  </si>
  <si>
    <t>ที่ได้รับอนุมัติแล้ว (งบจังหวัด)</t>
  </si>
  <si>
    <t>กิจกรรมย่อย ปรับปรุงซ่อมแซมถนนคอนกรีตเสริมเหล็กหมู่ที่ 3 
ต.จักราช</t>
  </si>
  <si>
    <t>กิจกรรมหลัก  ปรับปรุงภูมิทัศน์และพัฒนาเมือง/ชุมชนให้น่าอยู่</t>
  </si>
  <si>
    <t xml:space="preserve">   โครงการที่ใช้เงิน  กบจ.1/2561 วันที่ 8 ก.พ. 2561</t>
  </si>
  <si>
    <t xml:space="preserve">   โครงการที่รอรับการสนับสนุนงบประมาณ</t>
  </si>
  <si>
    <t>คงเหลืองบประมาณที่เหลือใช้ (จริง)</t>
  </si>
  <si>
    <t>โครงการป้องกันและแก้ไขปัญหายาเสพติดจังหวัดพระนครศรีอยุธยา</t>
  </si>
  <si>
    <t>กิจกรรมหลัก  เสริมสร้างการเตรียมความพร้อมในการรับสถานการณ์ฉุกเฉินและสร้างความปลอดภัยในชีวิตและทรัพย์สินของประชาชน</t>
  </si>
  <si>
    <t>โครงการเสริมสร้างครอบครัวเข้มแข็งของจังหวัดพระนครศรีอยุธยา</t>
  </si>
  <si>
    <t>กิจกรรมหลัก  การแก้ไขปัญหาสังคมในชุมชนและเมืองของจังหวัดพระนครศรีอยุธยา</t>
  </si>
  <si>
    <t>ดำเนินแล้วเสร็จ</t>
  </si>
  <si>
    <t>กิจกรรมย่อย การผลิตกุ้งแม่น้ำปลอดภัย ระยะที่ 2</t>
  </si>
  <si>
    <t>กิจกรรมย่อย การประเมินผลผลิตกุ้งก้ามกรามในแม่น้ำ 4 สายหลัก จังหวัดพระนครศรีอยุธยา</t>
  </si>
  <si>
    <t>สนง.ปภ.อย</t>
  </si>
  <si>
    <t>กิจกรรมย่อย ส่งเสริมการประชาสัมพันธ์สถาบันพระมหากษัตริย์ของจังหวัดพระนครศรีอยุธยา</t>
  </si>
  <si>
    <t>กิจกรรมย่อย ส่งเสริมการกำจัดผักตบชวาอย่างยั่งยืน 
โดยใช้นวัตกรรม 4.0</t>
  </si>
  <si>
    <t>กิจกรรมย่อย  สัตว์ปลอดโรค คนปลอดภัย จากโรคพิษสุนัขบ้า ตามพระปณิธาน ศ.ดร.สมเด็จพระเจ้าลูกยาเธอ เจ้าฟ้าจุฬาภรณวลัยลักษณ์ อัครราชกุมารี จังหวัดพระนครศรีอยุธยา</t>
  </si>
  <si>
    <t>ปศุสัตว์จังหวัด/ท้องถิ่นจังหวัด/ประชาสัมพันธ์จังหวัด/สสจ.อย</t>
  </si>
  <si>
    <t>กิจกรรมย่อย อยุธยาเมืองประวัติศาสตร์ บ้านเรือนสะอาด 
หน้าบ้าน น่ามอง ประจำปีงบประมาณ พ.ศ. 2561</t>
  </si>
  <si>
    <t>กิจกรรมย่อย  อบรมเสริมสร้างมาตรฐานการป้องกันและแก้ไขปัญหายาเสพติดในสถานประกอบกิจการและโรงงานสีขาว
ปีงบประมาณ พ.ศ. 2561</t>
  </si>
  <si>
    <t>สสค.อย</t>
  </si>
  <si>
    <t>สนจ.อย</t>
  </si>
  <si>
    <t>ค่าที่ดินสิ่งก่อสร้าง
-ก่อสร้างเขื่อนป้องกันตลิ่งและปรับปรุงภูมิทัศน์บริเวณ
วัดโตนด(1) ระยะที่ 2 ตำบลข้าวเม่า อำเภออุทัย</t>
  </si>
  <si>
    <t>กิจกรรมย่อย ซ่อมแซมถนนคอนกรีตเสริมเหล็ก หมู่ที่ 2 ตำบลตานิม อำเภอบางปะหัน</t>
  </si>
  <si>
    <t>อำเภอบางปะอิน</t>
  </si>
  <si>
    <t>กิจกรรมย่อย วางท่อระบายน้ำเพื่อลดปัญหาน้ำท่วมขังบริเวณโดยรอบสนามกีฬาโรงเรียนประจำอำเภอ เพื่อประชารัฐ หมู่ที่ 2 ตำบลมหาราช อำเภอมหาราช</t>
  </si>
  <si>
    <t>กิจกรรมย่อย ก่อสร้างถนนคอนกรีตเสริมเหล็ก หมู่ที่ 10 
ตำบลปลายกลัด อำเภอบางซ้าย</t>
  </si>
  <si>
    <t>ค่าที่ดินสิ่งก่อสร้าง
-  วางท่อระบายน้ำเพื่อลดปัญหาน้ำท่วมขังบริเวณโดยรอบสนามกีฬาโรงเรียนประจำอำเภอ เพื่อประชารัฐ หมู่ที่ 2 ตำบลมหาราช อำเภอมหาราช</t>
  </si>
  <si>
    <t>ค่าที่ดินสิ่งก่อสร้าง
-   ปรับปรุงซ่อมแซมศูนย์การศึกษาพิเศษประจำจังหวัดพระนครศรีอยุธยา หน่วยบริการอำเภอมหาราช หมู่ที่ 1 ตำบลพิตเพียน อำเภอมหาราช</t>
  </si>
  <si>
    <t>กิจกรรมย่อย เพิ่มประสิทธิภาพในการบริหารจัดการน้ำ เพื่อป้องกันอุทกภัยในพื้นที่จังหวัดพระนครศรีอยุธยา</t>
  </si>
  <si>
    <t xml:space="preserve">กิจกรรมย่อย ซ่อมแซมถนนคอนกรีตเสริมเหล็ก (คสล.) หมู่ที่ 1 
บ้านสะตือเอน ตำบลคลองน้อย </t>
  </si>
  <si>
    <t>ค่าที่ดินและสิ่งก่อสร้าง
- ซ่อมแซมถนน หมู่ที่ 4 ตำบลลำตะเคียน อำเภอผักไห่ 
จังหวัดพระนครศรีอยุธยา</t>
  </si>
  <si>
    <t>กิจกรรมย่อย  ปรับปรุงภูมิทัศน์เพื่อเพิ่มประสิทธิภาพในการให้บริการประชาชน</t>
  </si>
  <si>
    <t>กิจกรรมย่อย ก่อสร้างถนน คสล. สายข้างเมรุวัดป้อมแก้ว หมู่ที่ 4 
ตำบลบ้านกลึง อำเภอบางไทร</t>
  </si>
  <si>
    <t xml:space="preserve">     </t>
  </si>
  <si>
    <t>9 กิจกรรมย่อย</t>
  </si>
  <si>
    <t>54 กิจกรรมย่อย</t>
  </si>
  <si>
    <t>63 กิจกรรมย่อย</t>
  </si>
  <si>
    <t>18 กิจกรรมย่อย</t>
  </si>
  <si>
    <t>อยู่ระหว่างแก้ไข/รอเสนออนุมัติ</t>
  </si>
  <si>
    <t>24 กิจกรรมย่อย</t>
  </si>
  <si>
    <t>5 กิจกรรมย่อย</t>
  </si>
  <si>
    <t>อนุมัติครั้ง 1
11/9/2560</t>
  </si>
  <si>
    <t>อนุมัติครั้ง 3
11/9/2560</t>
  </si>
  <si>
    <t>อนุมัติครั้ง 4
22/9/2560</t>
  </si>
  <si>
    <t>อนุมัติครั้ง 5
18/8/2560</t>
  </si>
  <si>
    <t>อนุมัติครั้ง 8
12/10/2560</t>
  </si>
  <si>
    <t>อนุมัติครั้ง 10
19/10/2560</t>
  </si>
  <si>
    <t>อนุมัติครั้ง 11
20/10/2560</t>
  </si>
  <si>
    <t>อนุมัติครั้ง 14
2/11/2560</t>
  </si>
  <si>
    <t>อนุมัติครั้ง 16
9/11/2560</t>
  </si>
  <si>
    <t>อนุมัติครั้ง 17
9/11/2560</t>
  </si>
  <si>
    <t>พาณิชย์จังหวัด/สนจ.อย./ทกจ./วธ.</t>
  </si>
  <si>
    <t>อนุมัติครั้ง 6
6/10/2560</t>
  </si>
  <si>
    <t>อนุมัติครั้ง 13
1/11/2560</t>
  </si>
  <si>
    <t>อนุมัติครั้ง 18
7/11/2560</t>
  </si>
  <si>
    <t>อนุมัติครั้ง 2
11/9/2560</t>
  </si>
  <si>
    <t>อนุมัติครั้ง 19
13/11/2560</t>
  </si>
  <si>
    <t>อนุมัติครั้ง 21
15/11/2560</t>
  </si>
  <si>
    <t>อนุมัติครั้ง 20
14/11/2560</t>
  </si>
  <si>
    <t>อนุมัติครั้ง 22
21/11/2560</t>
  </si>
  <si>
    <t>อนุมัติครั้ง 23
24/11/2560</t>
  </si>
  <si>
    <t>อนุมัติครั้ง 25
28/11/2560</t>
  </si>
  <si>
    <t>อนุมัติครั้ง 27
1/12/2560</t>
  </si>
  <si>
    <t>อนุมัติครั้ง 28
13/12/2560</t>
  </si>
  <si>
    <t>อนุมัติครั้ง 29
14/12/1960</t>
  </si>
  <si>
    <t>อนุมัติครั้ง 31
9/1/2561</t>
  </si>
  <si>
    <t>อนุมัติครั้ง 32
12/1/2561</t>
  </si>
  <si>
    <t>อนุมัติครั้ง 33
15/1/2561</t>
  </si>
  <si>
    <t>อนุมัติครั้ง 44
13/2/2561</t>
  </si>
  <si>
    <t>อนุมัติครั้ง 43
9/11/2561</t>
  </si>
  <si>
    <t>อนุมัติครั้ง 39
31/1/2561</t>
  </si>
  <si>
    <t>อนุมัติครั้ง 41
2/2/2561</t>
  </si>
  <si>
    <t>อนุมัติครั้ง 42
7/2/2561</t>
  </si>
  <si>
    <t>อนุมัติครั้ง 35
17/1/2561</t>
  </si>
  <si>
    <t>อนุมัติครั้ง 37
30/1/2561</t>
  </si>
  <si>
    <t>อนุมัติครั้ง 36
17/1/2561</t>
  </si>
  <si>
    <t>อนุมัติครั้ง 51
28/2/2561</t>
  </si>
  <si>
    <t>อนุมัติครั้ง 49
27/2/2561</t>
  </si>
  <si>
    <t>อนุมัติครั้ง 48
23/2/2561</t>
  </si>
  <si>
    <t>อนมุติครั้ง 47
22/2/2561</t>
  </si>
  <si>
    <t>อนุมัติครั้ง 46
21/2/2561</t>
  </si>
  <si>
    <t>อนุมัติครั้ง30 
22/12/2560</t>
  </si>
  <si>
    <t>อนุมัติครั้ง 45
19/2/2561</t>
  </si>
  <si>
    <t>อนุมัติครั้ง 52
2/3/2561</t>
  </si>
  <si>
    <t>อนุมัติครั้ง 40
2/2/2561</t>
  </si>
  <si>
    <t>อนุมัติครั้ง 50
28/02/61</t>
  </si>
  <si>
    <t>เกษตรจังหวัด/โครงการชลประทาน</t>
  </si>
  <si>
    <t xml:space="preserve">กิจกรรมย่อย ลดปัญหามลพิษจากการเผาตอซังและเพิ่มรายได้แก่เกษตรกร </t>
  </si>
  <si>
    <t>ค่าที่ดินและสิ่งก่อสร้าง
- ก่อสร้างถนน คสล. สายข้างเมรุวัดป้อมแก้ว หมู่ที่ 4 ตำบลบ้านกลึง 
อำเภอบางไทร</t>
  </si>
  <si>
    <t>กิจกรรมย่อย ก่อสร้างถนนคอนกรีตเสริมเหล็กเส้นทางโรงสีมูลนิธิชัยพัฒนา อำเภอลาดบัวหลวง</t>
  </si>
  <si>
    <t>กิจกรรมย่อย ก่อสร้างเขื่อนป้องกันตลิ่งและปรับปรุงภูมิทัศน์ริมแม่น้ำป่าสักบริเวณวัดโพธิ์ทอง หมู่ที่ 3 ตำบลบ่อโพง อำเภอนครหลวง</t>
  </si>
  <si>
    <t>สนง.โยธาธิการและผังเมืองจังหวัด</t>
  </si>
  <si>
    <t>กิจกรรมย่อย  พัฒนาบริการสุขภาพในโรงพยาบาล เพื่อส่งเสริมคุณภาพชีวิตของประชาชน</t>
  </si>
  <si>
    <t>ค่าที่ดินสิ่งก่อสร้าง
-  ปรับปรุงซ่อมเขื่อนป้องกันตลิ่งริมแม่น้ำเจ้าพระยา บริเวณหมู่ที่ 1
 ตำบลขนอนหลวง ถึงหมู่ที่ 1 ตำบลบ้านโพ อำเภอบางปะอิน</t>
  </si>
  <si>
    <t>อนุมัติครั้ง 65 
9/3/2561</t>
  </si>
  <si>
    <t>อนุมัติครั้ง 68
14/3/2561</t>
  </si>
  <si>
    <t>อนุมัติครั้ง 69
14/3/2561</t>
  </si>
  <si>
    <t>อนุมัติครั้ง 72
15/3/2561</t>
  </si>
  <si>
    <t xml:space="preserve">กิจกรรมย่อย  ปรับปรุงคุณภาพน้ำด้วยพลังงานงานธรรมชาติต้นแบบ จังหวัดพระนครศรีอยุธยา  </t>
  </si>
  <si>
    <t>ทสจ.</t>
  </si>
  <si>
    <t>กิจกรรมย่อย ขุดลอกคลองหมอนทอง หมู่ที่ 1 และหมู่ที่ 2 ตำบลลำตะเคียน อำเภอผักไห่</t>
  </si>
  <si>
    <t>ที่ดินและสิ่งก่อสร้าง
- ปรับปรุงถนน คสล. หมู่ที่ 9 ตำบลบ้านโพ อำเภอบางปะอิน</t>
  </si>
  <si>
    <t>กิจกรรมย่อย ปรับปรุงซ่อมแซมศูนย์การศึกษาพิเศษประจำจังหวัดพระนครศรีอยุธยา หน่วยบริการอำเภอมหาราช หมู่ที่ 1 ตำบลพิตเพียน อำเภอมหาราช</t>
  </si>
  <si>
    <t>อนุมัติครั้ง 60
7/3/2561</t>
  </si>
  <si>
    <t>อนุมัติครั้ง 58
7/3/2561</t>
  </si>
  <si>
    <t>อนุมัติครั้ง 54
7/3/2561</t>
  </si>
  <si>
    <t>อนุมัติครั้ง 55
07/3/2561</t>
  </si>
  <si>
    <t>อนุมัติครั้ง 53
05/3/2561</t>
  </si>
  <si>
    <t>อนุมัติครั้ง 63
09/3/2561</t>
  </si>
  <si>
    <t>อนุมัติครั้ง 64
09/3/2561</t>
  </si>
  <si>
    <t>อนุมัติครั้ง 61
08/3/2561</t>
  </si>
  <si>
    <t>อนุมัติครั้ง 57
07/3/2561</t>
  </si>
  <si>
    <t>อนุมัติครั้ง 71
14/3/2561</t>
  </si>
  <si>
    <t>อนุมัติครั้ง 66
13/3/2561</t>
  </si>
  <si>
    <t>อนุมัติครั้ง 56
07/3/2561</t>
  </si>
  <si>
    <t>สนจ.อย/ท้องถิ่น/ปกครองจังหวัด/พช.</t>
  </si>
  <si>
    <t>อนุมัติครั้ง 74
23/3/2561</t>
  </si>
  <si>
    <t>อนุมัติครั้ง 73
16/3/2561</t>
  </si>
  <si>
    <t xml:space="preserve">โครงการงบประมาณรายจ่ายประจำปีงบประมาณ พ.ศ. 2561  จังหวัดพระนครศรีอยุธยา  
</t>
  </si>
  <si>
    <r>
      <rPr>
        <b/>
        <sz val="17"/>
        <rFont val="TH SarabunPSK"/>
        <family val="2"/>
      </rPr>
      <t>ค่าที่ดินและสิ่งก่อสร้าง</t>
    </r>
    <r>
      <rPr>
        <sz val="17"/>
        <rFont val="TH SarabunPSK"/>
        <family val="2"/>
      </rPr>
      <t xml:space="preserve">
- ปรับปรุงศูนย์การศึกษาประวัติศาสตร์อยุธยาให้เป็นแหล่งเรียนรู้ด้านประวัติศาสตร์ของจังหวัดพระนครศรีอยุธยา 1 แห่ง</t>
    </r>
  </si>
  <si>
    <r>
      <rPr>
        <b/>
        <sz val="17"/>
        <rFont val="TH SarabunPSK"/>
        <family val="2"/>
      </rPr>
      <t xml:space="preserve"> ค่าจ้างเหมาบริการ</t>
    </r>
    <r>
      <rPr>
        <sz val="17"/>
        <rFont val="TH SarabunPSK"/>
        <family val="2"/>
      </rPr>
      <t xml:space="preserve">
- ค่าจ้างเหมาจัดงานแสดงและจำหน่ายสินค้าภูมิภาคสานสัมพันธ์ไทย-ญี่ปุ่น (EXPO) 
และจัดเจรจาการค้า (Business Matching)</t>
    </r>
  </si>
  <si>
    <r>
      <rPr>
        <b/>
        <sz val="17"/>
        <rFont val="TH SarabunPSK"/>
        <family val="2"/>
      </rPr>
      <t>วัสดุเครื่องแต่งกาย</t>
    </r>
    <r>
      <rPr>
        <sz val="17"/>
        <rFont val="TH SarabunPSK"/>
        <family val="2"/>
      </rPr>
      <t xml:space="preserve">
- วัสดุเครื่องแต่งกาย จำนวน 120 ชุด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</si>
  <si>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 xml:space="preserve">- ปรับปรุงสถานที่เพื่อเป็นโรงเรียนผู้สูงอายุ ในพื้นที่ 16 อำเภอ </t>
    </r>
  </si>
  <si>
    <r>
      <rPr>
        <b/>
        <sz val="17"/>
        <color theme="1"/>
        <rFont val="TH SarabunPSK"/>
        <family val="2"/>
      </rPr>
      <t>ครุภัณฑ์</t>
    </r>
    <r>
      <rPr>
        <sz val="17"/>
        <color theme="1"/>
        <rFont val="TH SarabunPSK"/>
        <family val="2"/>
      </rPr>
      <t xml:space="preserve">
- ชุดสูบน้ำพลังงานแสงอาทิตย์ พื้นที่เกษตรแปลงใหญ่ 20 ชุด</t>
    </r>
  </si>
  <si>
    <r>
      <rPr>
        <b/>
        <sz val="17"/>
        <rFont val="TH SarabunPSK"/>
        <family val="2"/>
      </rPr>
      <t>ค่าที่ดินสิ่งก่อสร้าง</t>
    </r>
    <r>
      <rPr>
        <sz val="17"/>
        <rFont val="TH SarabunPSK"/>
        <family val="2"/>
      </rPr>
      <t xml:space="preserve">
1. สร้างโรงเรือนผักปลอดสารพิษ ขนาด 6x6 เมตร  </t>
    </r>
  </si>
  <si>
    <r>
      <rPr>
        <b/>
        <sz val="17"/>
        <color theme="1"/>
        <rFont val="TH SarabunPSK"/>
        <family val="2"/>
      </rPr>
      <t>ค่าครุภัณฑ์</t>
    </r>
    <r>
      <rPr>
        <sz val="17"/>
        <color theme="1"/>
        <rFont val="TH SarabunPSK"/>
        <family val="2"/>
      </rPr>
      <t xml:space="preserve">
1. เครื่องสูบน้ำเบนซิน 4 จังหวะ ขนาด 3 นิ้ว</t>
    </r>
  </si>
  <si>
    <r>
      <rPr>
        <b/>
        <sz val="17"/>
        <color theme="1"/>
        <rFont val="TH SarabunPSK"/>
        <family val="2"/>
      </rPr>
      <t>ค่าครุภัณฑ์</t>
    </r>
    <r>
      <rPr>
        <sz val="17"/>
        <color theme="1"/>
        <rFont val="TH SarabunPSK"/>
        <family val="2"/>
      </rPr>
      <t xml:space="preserve">
1. ปั๊มน้ำขนาด 1 แรง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</si>
  <si>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 xml:space="preserve">- ฟื้นฟูและปรับปรุงคลองเมืองพระนครศรีอยุธยา ตำบลหัวรอ,
ตำบลประตูชัย,ตำบลวาสุกรี อำเภอพระนครศรีอยุธยา 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</si>
  <si>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>- ป้ายบอกสถานที่บริเวณโดยรอบเกาะเมือง อำเภอพระนครศรีอยุธยา 
จังหวัดพระนครศรีอยุธยา 79 ชุด</t>
    </r>
  </si>
  <si>
    <r>
      <t xml:space="preserve">ค่าครุภัณฑ์
</t>
    </r>
    <r>
      <rPr>
        <sz val="17"/>
        <rFont val="TH SarabunPSK"/>
        <family val="2"/>
      </rPr>
      <t>- เครื่องดูดแสมหะ 80 เครื่อง</t>
    </r>
  </si>
  <si>
    <r>
      <rPr>
        <b/>
        <sz val="17"/>
        <color theme="1"/>
        <rFont val="TH SarabunPSK"/>
        <family val="2"/>
      </rPr>
      <t xml:space="preserve">ค่าวัสดุ
</t>
    </r>
    <r>
      <rPr>
        <sz val="17"/>
        <color theme="1"/>
        <rFont val="TH SarabunPSK"/>
        <family val="2"/>
      </rPr>
      <t>-กรวยยางสะท้อนแสง 800 อัน</t>
    </r>
  </si>
  <si>
    <r>
      <rPr>
        <b/>
        <sz val="17"/>
        <color theme="1"/>
        <rFont val="TH SarabunPSK"/>
        <family val="2"/>
      </rPr>
      <t>ค่าครุภัณฑ์</t>
    </r>
    <r>
      <rPr>
        <sz val="17"/>
        <color theme="1"/>
        <rFont val="TH SarabunPSK"/>
        <family val="2"/>
      </rPr>
      <t xml:space="preserve">
- เครื่องผสมปุ๋ยแนวนอน ความจุถังป้อน ขนาด 200 - 300 กิโลกรัมและกำลังขับเคลื่อนมอเตอร์ ขนาด 3 แรงม้า  2 เครื่อง</t>
    </r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</si>
  <si>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 ปรับปรุงซ่อมแซมถนนคอนกรีตเสริมเหล็กสายวัดหลวงพ่อบุญเย็น 
หมู่ที่ 2 ตำบลบางพลี อำเภอบางไทร จังหวัดพระนครศรีอยุธยา </t>
    </r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</si>
  <si>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 ปรับปรุงซ่อมแซมถนน ASPHAL TIC CONCRETE สาย 15 โค้ง 
ช่วงบริเวณ หมู่ที่ 1 ตำบลบางไทร  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</si>
  <si>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>-  ก่อสร้างลานตากพืชผลทางการเกษตร หมู่ที่ 2 ตำบลลำตะเคียน อำเภอผักไห่ จังหวัดพระนครศรีอยุธยา  1 แห่ง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</si>
  <si>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 xml:space="preserve">- ก่อสร้างถนนคอนกรีตเสริมเหล็ก หมู่ที่ 3 ตำบลสำพะเนียง (หนองอ้อ) อำเภอบ้านแพรก จังหวัดพระนครศรีอยุธยา 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</si>
  <si>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>-  ซ่อมแซมถนนคอนกรีตเสริมเหล็ก หมู่ที่ 1 บ้านสะตือเอน 
ตำบลคลองน้อย อำเภอบ้านแพรก จังหวัดพระนครศรีอยุธยา</t>
    </r>
  </si>
  <si>
    <r>
      <t xml:space="preserve">สรุปงบประมาณจากกิจกรรมที่ </t>
    </r>
    <r>
      <rPr>
        <b/>
        <u val="double"/>
        <sz val="17"/>
        <color rgb="FFFF0000"/>
        <rFont val="TH SarabunPSK"/>
        <family val="2"/>
      </rPr>
      <t>ยกเลิก</t>
    </r>
    <r>
      <rPr>
        <b/>
        <sz val="17"/>
        <rFont val="TH SarabunPSK"/>
        <family val="2"/>
      </rPr>
      <t xml:space="preserve"> จำนวน 19 กิจกรรม</t>
    </r>
  </si>
  <si>
    <t xml:space="preserve">ครุภัณฑ์
  ตู้เย็นแช่น้ำยาตรวจสารพิษตกค้าง </t>
  </si>
  <si>
    <t xml:space="preserve">   โดรนเพื่อการเกษตร ขนาด 15 ลิตร</t>
  </si>
  <si>
    <t>กิจกรรมย่อย  เขื่อนป้องกันตลิ่งและปรับปรุงภูมิทัศน์ริมแม่น้ำเจ้าพระยา บริเวณวัดนักบุญยอเซฟอยุธยา อำเภอพระนครศรีอยุธยา จังหวัดพระนครศรีอยุธยา</t>
  </si>
  <si>
    <t>กิจกรรมย่อย จัดตั้งคลังอุปกรณ์สำหรับผู้สูงอายุ/ผู้พิการติดบ้านติดเตียง ในโรงพยาบาลทุกแห่ง</t>
  </si>
  <si>
    <t>กิจกรรมย่อย ปรับปรุงถนน คสล. หมู่ที่ 9 ตำบลบ้านโพ 
อำเภอบางปะอิน</t>
  </si>
  <si>
    <t>กิจกรรมย่อย ก่อสร้างถนน (ถนนเลียบคลองหนองรี)
 หมู่ที่ 2,3  ตำบลขนอนหลวง อำเภอบางปะอิน</t>
  </si>
  <si>
    <r>
      <rPr>
        <sz val="17"/>
        <rFont val="TH SarabunPSK"/>
        <family val="2"/>
      </rPr>
      <t xml:space="preserve">ครุภัณฑ์ </t>
    </r>
    <r>
      <rPr>
        <sz val="17"/>
        <rFont val="TH SarabunPSK"/>
        <family val="2"/>
      </rPr>
      <t xml:space="preserve"> เครื่องกลเติมอากาศใต้น้ำ โดยพลังงานแสงอาทิตย์</t>
    </r>
  </si>
  <si>
    <r>
      <t xml:space="preserve">ค่าที่ดินและสิ่งก่อสร้าง
</t>
    </r>
    <r>
      <rPr>
        <sz val="17"/>
        <rFont val="TH SarabunPSK"/>
        <family val="2"/>
      </rPr>
      <t>ก่อสร้างดาดคอนกรีตคูส่งน้ำเข้าพร้อมเสริมคันดินแปลงนาส่วนพระองค์</t>
    </r>
  </si>
  <si>
    <t xml:space="preserve">ครุภัณฑ์   เครื่องสูบน้ำขับด้วยเครื่องยนต์ดีเซล </t>
  </si>
  <si>
    <t>กิจกรรมย่อย ส่งเสริมอาชีพเพื่อสร้างรายได้ให้กับชุมชน 
"คนเมืองมีถัง คนบ้านมีโอ่ง"</t>
  </si>
  <si>
    <t>อยู่ระหว่างดำเนินงานตามโครงการ</t>
  </si>
  <si>
    <t>สงป.อนุมัติ งปม.</t>
  </si>
  <si>
    <t>ลำดับที่</t>
  </si>
  <si>
    <t>โครงการ-กิจกรรม</t>
  </si>
  <si>
    <t>หน่วยดำเนินการ</t>
  </si>
  <si>
    <t>ประเด็นยุทธศาสตร์ที่ 1พัฒนาคุณภาพการท่องเที่ยวและการบริการสู่มาตรฐานสากล</t>
  </si>
  <si>
    <t>กิจกรรม 1.1  ปรับปรุงซ่อมแซมศูนย์ศึกษาประวัติศาสตร์อยุธยา</t>
  </si>
  <si>
    <t>ปกครองจังหวัด</t>
  </si>
  <si>
    <t>กิจกรรมหลัก  ส่งเสริมการท่องเที่ยว ประเพณีไทยและการประชาสัมพันธ์ ด้านการท่องเที่ยวของจังหวัด</t>
  </si>
  <si>
    <t>กิจกรรม 2.1  ยอยศยิ่งฟ้าอยุธยามรดกโลก</t>
  </si>
  <si>
    <t>กิจกรรม 2.2  วันมวยไทยนายขนมต้ม</t>
  </si>
  <si>
    <t>กิจกรรม 2.3  สานสัมพันธ์กับนานาชาติ เพื่อเชื่อมโยงประวัติศาสตร์จังหวัดพระนครศรีอยุธยา</t>
  </si>
  <si>
    <t>กิจกรรม 2.4 แข่งขันเรือยาวประเพณีชิงถ้วยพระราชทานสมเด็จพระเจ้าอยู่หัว</t>
  </si>
  <si>
    <t>กิจกรรม 2.5  ไหว้พระรับพร ชมละคร นอนอยุธยา</t>
  </si>
  <si>
    <t>กิจกรรม 2.6 ส่งเสริมการประชาสัมพันธ์ด้านการท่องเที่ยวของจังหวัดพระนครศรีอยุธยา</t>
  </si>
  <si>
    <t>กิจกรรม 3.1 ตลาดวิถีชุมชนคนทำมีดอรัญญิก  อำเภอนครหลวง จังหวัดพระนครศรีอยุธยา</t>
  </si>
  <si>
    <t>กิจกรรม 3.2 จัดงานประเพณีแห่เทียนพรรษาทางน้ำ อำเภอเสนา</t>
  </si>
  <si>
    <t>พาณิชย์จังหวัด/สนจ.อย./ท่องเที่ยวและกีฬา/วัฒนธรรม</t>
  </si>
  <si>
    <t>งบประมาณได้รับจัดสรร</t>
  </si>
  <si>
    <t>ประเด็นยุทธศาสตร์ที่ 2 พัฒนาเมืองและชุมชนให้น่าอยู่</t>
  </si>
  <si>
    <t>กิจกรรม 4.1  เพิ่มสมรรถนะการจัดการขยะมูลฝอยและของเสียอันตราย</t>
  </si>
  <si>
    <t>-</t>
  </si>
  <si>
    <t>กิจกรรม 5.1 รวมพลังมวลชนเพื่อสร้างความปรองดองสมานฉันท์</t>
  </si>
  <si>
    <t>กิจกรรม 7.1  ค่ายครอบครัวล้อมรัก</t>
  </si>
  <si>
    <t>กิจกรรม 7.2  อบรมการสื่อสารสำหรับพ่อแม่ผู้ปกครองและการพัฒนาเยาวชนเพื่อความเข้มแข็ง</t>
  </si>
  <si>
    <t>กิจกรรม 9.1 ซ่อมแซมถนนคอนกรีตเสริมเหล็กสายคันกั้นน้ำชลประทานช่วงบริเวณหมู่ที่ 4-5  ตำบลบางไทร</t>
  </si>
  <si>
    <t>อ.บางไทร</t>
  </si>
  <si>
    <t>อ.บางซ้าย</t>
  </si>
  <si>
    <t>อ.บ้านแพรก</t>
  </si>
  <si>
    <t>อ.ท่าเรือ</t>
  </si>
  <si>
    <t>อ.ผักไห่</t>
  </si>
  <si>
    <t xml:space="preserve">กิจกรรม 10.1  ก่อสร้างระบบคูน้ำเพื่อการกระจายน้ำสู่พื้นที่แปลงใหญ่ </t>
  </si>
  <si>
    <t>กิจกรรม 10.2  ติดตั้งชุดสูบน้ำพลังงานแสงอาทิตย์พื้นที่เกษตรแปลงใหญ่</t>
  </si>
  <si>
    <t>กิจกรรม 10.3 เพิ่มประสิทธิภาพการผลิตที่ปลอดภัย</t>
  </si>
  <si>
    <t>กิจกรรม 10.4 การผลิตกุ้งแม่น้ำปลอดภัย</t>
  </si>
  <si>
    <t>กิจกรรม 10.5  ปล่อยน้ำเข้านาปล่อยปลาเข้าทุ่ง</t>
  </si>
  <si>
    <t>กิจกรรม 11.1  เพิ่มช่องทางการตลาด การประชาสัมพันธ์ และการส่งเสริมและขยายช่องทางการค้าสินค้าตราสัญลักษณ์ผลิตภัณฑ์จังหวัดพระนครศรีอยุธยา</t>
  </si>
  <si>
    <t>กิจกรรม 11.2  พัฒนารูปแบบสินค้า และบรรจุภัณฑ์ ด้วยนวัตกรรม และภูมิปัญญาที่สร้างสรรค์</t>
  </si>
  <si>
    <t>กิจกรรม 12.1 การเกษตรเพื่ออาหารกลางวันตามแนวพระราชดำริสมเด็จพระเทพรัตนราชสุดา สยามบรมราชกุมารี</t>
  </si>
  <si>
    <t xml:space="preserve">สพป.อย เขต1 </t>
  </si>
  <si>
    <t>สพป.อย เขต 2</t>
  </si>
  <si>
    <t>กิจกรรม 12.2 ขยายผลโครงการเกษตรเพื่ออาหารกลางวัน</t>
  </si>
  <si>
    <t>กิจกรรม 12.4 พัฒนาการผลิตข้าวในพื้นที่แปลงนาส่วนพระองค์</t>
  </si>
  <si>
    <t>กิจกรรม 12.5 ส่งเสริมและพัฒนาสวนพุทราประวัติศาสตร์กรุงศรีอยุธยา</t>
  </si>
  <si>
    <t>กิจกรรม 12.6  พัฒนาและเชื่อมโยงศูนย์การเรียนรู้เศรษฐกิจพอเพียง</t>
  </si>
  <si>
    <t>กิจกรรม 13.1 สานพลังประชารัฐ ยกระดับศักยภาพกำลังคน ภาคการผลิต การค้า และภาคบริการรองรับการเข้าสู่ Thailand 4.0</t>
  </si>
  <si>
    <t>สถาบันพัฒนาฝีมือแรงงาน 15</t>
  </si>
  <si>
    <t>กิจกรรมหลัก  ส่งเสริมอาชีพในชุมชนและปรับปรุงสิ่งอำนวยความสะดวกในการขนส่งสินค้าทางการเกษตร</t>
  </si>
  <si>
    <t>อ.บางปะหัน</t>
  </si>
  <si>
    <t>อ.ลาดบัวหลวง</t>
  </si>
  <si>
    <t>อ.มหาราช</t>
  </si>
  <si>
    <t>ผลผลิต :  พัฒนาสังคมและยกระดับความเป็นอยู่ของประชาชน</t>
  </si>
  <si>
    <t>กิจกรรม 15.1 จัดตั้งคลังอุปกรณ์สำหรับผู้สูงอายุ/ผู้พิการติดบ้านติดเตียง ในโรงพยาบาลทุกแห่ง</t>
  </si>
  <si>
    <t>กิจกรรมหลัก การพัฒนาศักยภาพและการเข้าถึงบริการของประชาชน</t>
  </si>
  <si>
    <t>กิจกรรม 16.1 ฟื้นฟูและปรับปรุงคลองเมืองพระนครศรีอยุธยา</t>
  </si>
  <si>
    <t>โยธาธิการและผังเมืองจังหวัด</t>
  </si>
  <si>
    <t>กิจกรรมหลัก การท่องเที่ยวและประชาสัมพันธ์</t>
  </si>
  <si>
    <t>งบประมาณ
ได้รับจัดสรร</t>
  </si>
  <si>
    <t xml:space="preserve">กิจกรรม 15.3  ส่งเสริมกิจกรรมโรงเรียนผู้สูงอายุ   </t>
  </si>
  <si>
    <t>กิจกรรม 15.2 พัฒนาบริการสุขภาพในโรงพยาบาล เพื่อส่งเสริมคุณภาพชีวิตของประชาชน</t>
  </si>
  <si>
    <t>ส่งคืนเงินเหลือจ่าย</t>
  </si>
  <si>
    <t>กิจกรรม 16.3  ก่อสร้างเขื่อนป้องกันตลิ่งและปรับปรุงภูมิทัศน์ริมแม่น้ำป่าสักบริเวณวัดโพธิ์ทอง หมู่ที่ 3 ตำบลบ่อโพง อำเภอนครหลวง</t>
  </si>
  <si>
    <t>กิจกรรม 4.2 ปรับปรุงภูมิทัศน์เพื่อเพิ่มประสิทธิภาพในการให้บริการประชาชน</t>
  </si>
  <si>
    <t>กิจกรรม 13.2 การบริหารจัดการ  SME จังหวัดพระนครศรีอยุธยา</t>
  </si>
  <si>
    <t>กิจกรรมย่อย  ปรับปรุงซ่อมเขื่อนป้องกันตลิ่งริมแม่น้ำเจ้าพระยาบริเวณหมู่ที่ 1 ตำบลขนอนหลวง ถึงหมู่ที่ 1 ตำบลบ้านโพ อำเภอบางปะอิน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</si>
  <si>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ก่อสร้างเขื่อนป้องกันตลิ่งและปรับปรุงภูมิทัศน์ริมแม่น้ำป่าสักบริเวณวัดโพธิ์ทอง หมู่ที่ 3 ตำบลบ่อโพง อำเภอนครหลวง</t>
    </r>
  </si>
  <si>
    <t>กิจกรรมย่อย ปรับปรุงซ่อมแซมถนนคอนกรีตเสริมเหล็ก
 หมู่ที่ 4 ต.นาคู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</si>
  <si>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ก่อสร้างอาคารเก็บปุ๋ยและวัสดุการเกษตร ตำบลมารวิชัย 
ตำบลหัวเวียง อำเภอเสนา จังหวัดพระนครศรีอยุธยา 2 แห่ง</t>
    </r>
  </si>
  <si>
    <t>- เครื่องชั่งน้ำหนักระบบอิเล็กทรอนิกส์ดิจิตอล ขนาดชั่ง
 น้ำหนัก500กิโลกรัม 2 เครื่อง</t>
  </si>
  <si>
    <t>กิจกรรมย่อย  พัฒนาและประชาสัมพันธ์ศูนย์ประวัติศาสตร์พระนครศรีอยุธยา</t>
  </si>
  <si>
    <t>กิจกรรม 2.7  ผลิตและเผยแพร่ภาพยนตร์สารคดีเพื่อการเรียนรู้เมืองมรดกโลก</t>
  </si>
  <si>
    <t>กิจกรรม 2.8  ส่งเสริมการประชาสัมพันธ์สถาบันพระมหากษัตริย์ของจังหวัดพระนครศรีอยุธยา</t>
  </si>
  <si>
    <t xml:space="preserve">กิจกรรม 4.4  ปรับปรุงคุณภาพน้ำด้วยพลังงานงานธรรมชาติต้นแบบ จังหวัดพระนครศรีอยุธยา  </t>
  </si>
  <si>
    <t>กิจกรรม 8.1  ป้องกันและแก้ไขปัญหายาเสพติดจังหวัดพระนครศรีอยุธยา</t>
  </si>
  <si>
    <t>กิจกรรม 12.7  พัฒนาบรรจุภัณฑ์เพื่อส่งเสริมช่องทางการจำหน่ายสินค้าเกษตร</t>
  </si>
  <si>
    <t>กิจกรรม 12.3 เพิ่มประสิทธิภาพการบริหารจัดการฟาร์มตัวอย่างอันเนื่องมาจากพระราชดำริฯ   หนองงูเห่า ตำบลบางระกำ อำเภอนครหลวง</t>
  </si>
  <si>
    <t>กิจกรรม 10.8  การผลิตกุ้งแม่น้ำปลอดภัย ระยะที่ 2</t>
  </si>
  <si>
    <t>กิจกรรม 10.6  มหกรรมสินค้าเกษตรปลอดภัย</t>
  </si>
  <si>
    <t>กิจกรรม 10.7  ส่งเสริมอาชีพทางเลือกเพื่อพัฒนาเกษตรกร</t>
  </si>
  <si>
    <t>กิจกรรม 10.10  ส่งเสริมอาชีพเพื่อสร้างรายได้ให้กับชุมชน "คนเมืองมีถัง คนบ้านมีโอ่ง"</t>
  </si>
  <si>
    <t>สนง.ปภ.จังหวัด</t>
  </si>
  <si>
    <t>กิจกรรม 6.1 เพิ่มประสิทธิภาพในการบริหารจัดการน้ำ เพื่อป้องกันอุทกภัยในพื้นที่จังหวัดพระนครศรีอยุธยา</t>
  </si>
  <si>
    <t>กิจกรรม 6.2 ส่งเสริมการกำจัดผักตบชวาอย่างยั่งยืน โดยใช้นวัตกรรม 4.0</t>
  </si>
  <si>
    <t>กิจกรรม 6.3   ก่อสร้างเขื่อนป้องกันตลิ่งและปรับปรุงภูมิทัศน์บริเวณวัดโตนด(1) ระยะที่ 2 ตำบลข้าวเม่า อำเภออุทัย</t>
  </si>
  <si>
    <t>กิจกรรม 6.5  สัตว์ปลอดโรค คนปลอดภัย จากโรคพิษสุนัขบ้า ตามพระปณิธาน ศ.ดร.สมเด็จพระเจ้าลูกยาเธอ เจ้าฟ้าจุฬาภรณวลัยลักษณ์ อัครราชกุมารี จังหวัดพระนครศรีอยุธยา</t>
  </si>
  <si>
    <t xml:space="preserve">กิจกรรม 9.2 ปรับปรุงซ่อมแซมถนนคอนกรีตเสริมเหล็กสายวัดหลวงพ่อบุญเย็น หมู่ที่ 2 ตำบลบางพลี     </t>
  </si>
  <si>
    <t>กิจกรรม 9.4 ก่อสร้างเขื่อนป้องกันการเซาะของตลิ่งหมู่ที่ 3</t>
  </si>
  <si>
    <t>กิจกรรม 9.5 ก่อสร้างโรงสูบน้ำไฟฟ้า หมู่ที่ 7-8</t>
  </si>
  <si>
    <t>กิจกรรม 9.6 ปรับปรุงซ่อมแซมถนนคอนกรีตเสริมเหล็ก   หมู่ที่ 4 ต.นาคู</t>
  </si>
  <si>
    <t>กิจกรรม 9.7 ปรับปรุงซ่อมแซมถนนคอนกรีตเสริมเหล็ก   หมู่ที่ 4 ต.ลำตะเคียน</t>
  </si>
  <si>
    <t>กิจกรรม 9.8 ปรับปรุงซ่อมแซมถนนคอนกรีตเสริมเหล็ก หมู่ที่ 5  ต.ลำตะเคียน</t>
  </si>
  <si>
    <t>กิจกรรม 6.6  ก่อสร้างถนน คสล. สายข้างเมรุวัดป้อมแก้ว หมู่ที่ 4 ตำบลบ้านกลึง อำเภอบางไทร</t>
  </si>
  <si>
    <t>กิจกรรม 6.7 ขุดลอกคลองหมอนทอง หมู่ที่ 1 และหมู่ที่ 2 ตำบลลำตะเคียน อำเภอผักไห่</t>
  </si>
  <si>
    <t>กิจกรรม 6.8  ก่อสร้างถนนคอนกรีตเสริมเหล็ก หมู่ที่ 10 ตำบลปลายกลัด อำเภอบางซ้าย</t>
  </si>
  <si>
    <t>กิจกรรม 6.9 ซ่อมแซมถนนคอนกรีตเสริมเหล็ก หมู่ที่ 2 ตำบลตานิม อำเภอบางปะหัน</t>
  </si>
  <si>
    <t>กิจกรรม 6.10  วางท่อระบายน้ำเพื่อลดปัญหาน้ำท่วมขังบริเวณโดยรอบสนามกีฬาโรงเรียนประจำอำเภอ เพื่อประชารัฐ หมู่ที่ 2 ตำบลมหาราช อำเภอมหาราช</t>
  </si>
  <si>
    <t>กิจกรรม 6.11  ปรับปรุงซ่อมแซมศูนย์การศึกษาพิเศษประจำจังหวัดพระนครศรีอยุธยา หน่วยบริการอำเภอมหาราช หมู่ที่ 1 ตำบลพิตเพียน อำเภอมหาราช</t>
  </si>
  <si>
    <t>กิจกรรม 6.12 ปรับปรุงถนน คสล. หมู่ที่ 9 ตำบลบ้านโพ อำเภอบางปะอิน</t>
  </si>
  <si>
    <t>อ.บางปะอิน</t>
  </si>
  <si>
    <t>สนง.ทรัพยากรธรรมชาติและสิ่งแวดล้อม/ท้องถิ่นจังหวัด</t>
  </si>
  <si>
    <t>กิจกรรม 14.1  ก่อสร้างระบบน้ำเพื่อนำน้ำเข้าสู่พื้นที่เกษตร (ระบบท่อ)</t>
  </si>
  <si>
    <t>กิจกรรม 14.2 เพิ่มศักยภาพกลุ่มจัดการดินปุ๋ยชุมชน อำเภอเสนา</t>
  </si>
  <si>
    <t>กิจกรรม 14.3  ก่อสร้างถนนคอนกรีตเสริมเหล็ก หมู่ที่ 3 ตำบลสำพะเนียง</t>
  </si>
  <si>
    <t xml:space="preserve">กิจกรรม 14.4 ซ่อมแซมถนนคอนกรีตเสริมเหล็ก (คสล.) หมู่ที่ 1 บ้านสะตือเอน ตำบลคลองน้อย </t>
  </si>
  <si>
    <t>กิจกรรม 14.5  ส่งเสริมการปลูกพืชใช้น้ำน้อยตามแนวทางปรัชญาเศรษฐกิจพอเพียง</t>
  </si>
  <si>
    <t>กิจกรรม 14.6 ลดปัญหามลพิษจากการเผาตอซังและเพิ่มรายได้แก่เกษตรกร</t>
  </si>
  <si>
    <t>กิจกรรม 14.7 ก่อสร้างลานตากพืชผลทางการเกษตรเพื่อชุมชน</t>
  </si>
  <si>
    <t xml:space="preserve">กิจกรรม 9.9 ก่อสร้างถนนคอนกรีตเสริมเหล็ก หมู่ที่ 6  ต.ดอนลาน </t>
  </si>
  <si>
    <t>กิจกรรม 9.10 ปรับปรุงซ่อมแซมถนนคอนกรีตเสริมเหล็ก  หมู่ที่ 3 ต.จักราช</t>
  </si>
  <si>
    <t xml:space="preserve">กิจกรรม 9.11  ปรับปรุงถนน คสล.หมู่ที่ 8 บ้านรางเนื้อตาย ตำบลเทพมงคล อำเภอบางซ้าย </t>
  </si>
  <si>
    <t>กิจกรรม 9.13  ก่อสร้างถนนคอนกรีตเสริมเหล็กเส้นทางโรงสีมูลนิธิชัยพัฒนา อำเภอลาดบัวหลวง</t>
  </si>
  <si>
    <t>ผลการเบิกจ่าย ในไตรมาสที่ 1</t>
  </si>
  <si>
    <t>เดือนตุลาคม</t>
  </si>
  <si>
    <t>เดือนพฤศจิกายน</t>
  </si>
  <si>
    <t>เดือนธันวาคม</t>
  </si>
  <si>
    <t>ผลการเบิกจ่าย ในไตรมาสที่ 2</t>
  </si>
  <si>
    <t>เดือนมกราคม</t>
  </si>
  <si>
    <t>เดือนกุมภาพันธ์</t>
  </si>
  <si>
    <t>เดือนมีนาคม</t>
  </si>
  <si>
    <t>ผลการเบิกจ่าย ในไตรมาสที่ 3</t>
  </si>
  <si>
    <t>เดือนเมษายน</t>
  </si>
  <si>
    <t>เดือนพฤษภาคม</t>
  </si>
  <si>
    <t>เดือนมิถุนายน</t>
  </si>
  <si>
    <t>ผลการเบิกจ่าย ในไตรมาสที่ 4</t>
  </si>
  <si>
    <t>เดือนกรกฎาคม</t>
  </si>
  <si>
    <t>เดือนสิงหาคม</t>
  </si>
  <si>
    <t>เดือนกันยายน</t>
  </si>
  <si>
    <t>กิจกรรม 1.2 พัฒนาและประชาสัมพันธ์ศูนย์ประวัติศาสตร์พระนครศรีอยุธยา</t>
  </si>
  <si>
    <t xml:space="preserve">กิจกรรมย่อย ก่อสร้างระบบคูน้ำเพื่อการกระจายน้ำสู่
พื้นที่แปลงใหญ่ </t>
  </si>
  <si>
    <t xml:space="preserve">กิจกรรมย่อย ก่อสร้างถนน คสล. (ฝั่งเหนือ) บริเวณปากทางสายอยุธยา-สุพรรณบุรี ไปถึงสะพานปูน ม.5 ตำบลบางซ้าย  
อำเภอบางซ้าย </t>
  </si>
  <si>
    <t xml:space="preserve">กิจกรรมย่อย ปรับปรุงถนน คสล.หมู่ที่ 8 บ้านรางเนื้อตาย 
ตำบลเทพมงคล อำเภอบางซ้าย </t>
  </si>
  <si>
    <t>กิจกรรม 6.4  ปรับปรุงซ่อมเขื่อนป้องกันตลิ่งริมแม่น้ำเจ้าพระยาบริเวณหมู่ที่ 1 ตำบลขนอนหลวง ถึงหมู่ที่ 1 
ตำบลบ้านโพ อำเภอบางปะอิน</t>
  </si>
  <si>
    <t>ค่าครุภัณฑ์  เครื่องอัดฟางแท่ง 1 เครื่อง</t>
  </si>
  <si>
    <t xml:space="preserve">
</t>
  </si>
  <si>
    <t>ปกครองจังหวัด
 (ห้องป้องกัน)</t>
  </si>
  <si>
    <r>
      <rPr>
        <b/>
        <sz val="17"/>
        <color theme="1"/>
        <rFont val="TH SarabunPSK"/>
        <family val="2"/>
      </rPr>
      <t xml:space="preserve">กิจกรรมที่ 1 </t>
    </r>
    <r>
      <rPr>
        <sz val="17"/>
        <color theme="1"/>
        <rFont val="TH SarabunPSK"/>
        <family val="2"/>
      </rPr>
      <t>จัดกิจกรรมส่งเสริมการท่องเที่ยวของจังหวัด</t>
    </r>
  </si>
  <si>
    <r>
      <rPr>
        <b/>
        <sz val="17"/>
        <color theme="1"/>
        <rFont val="TH SarabunPSK"/>
        <family val="2"/>
      </rPr>
      <t>กิจกรรมที่ 2</t>
    </r>
    <r>
      <rPr>
        <sz val="17"/>
        <color theme="1"/>
        <rFont val="TH SarabunPSK"/>
        <family val="2"/>
      </rPr>
      <t xml:space="preserve"> จัดงานอยุธยาเฟสติวัล :งานเทศกาลดนตรีท่ามกลาง
มรดกโลก Music in the world heritage </t>
    </r>
  </si>
  <si>
    <r>
      <rPr>
        <b/>
        <sz val="17"/>
        <color theme="1"/>
        <rFont val="TH SarabunPSK"/>
        <family val="2"/>
      </rPr>
      <t>กิจกรรมที่ 3</t>
    </r>
    <r>
      <rPr>
        <sz val="17"/>
        <color theme="1"/>
        <rFont val="TH SarabunPSK"/>
        <family val="2"/>
      </rPr>
      <t xml:space="preserve"> จัดกิจกรรม Ayutthaya Sports tourism 2018</t>
    </r>
  </si>
  <si>
    <r>
      <rPr>
        <b/>
        <sz val="17"/>
        <color theme="1"/>
        <rFont val="TH SarabunPSK"/>
        <family val="2"/>
      </rPr>
      <t>กิจกรรมที่ 4</t>
    </r>
    <r>
      <rPr>
        <sz val="17"/>
        <color theme="1"/>
        <rFont val="TH SarabunPSK"/>
        <family val="2"/>
      </rPr>
      <t xml:space="preserve"> ประกวดวงดนตรีเยาวชน (Thai  Fusion  Music 2018  Ayutthaya  Campus) เพื่อส่งเสริมการท่องเที่ยว</t>
    </r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</si>
  <si>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-ป้ายแนะนำเส้นทางลัดทางเลี่ยง ขนาดกว้าง 0.75 เมตร 
ยาว 1.50 เมตร30 ป้าย</t>
    </r>
  </si>
  <si>
    <t xml:space="preserve">-ป้ายแนะนำเส้นทางลัด ทางเลี่ยง ขนาดกว้าง 0.75 เมตร 
ยาว 1.50 เมตร30 ป้าย </t>
  </si>
  <si>
    <t>-ป้ายแนะนำเส้นทางลัด ทางเลี่ยง ขนาดกว้าง 0.75 เมตร
 ยาว 1.50เมตร 30 ป้าย</t>
  </si>
  <si>
    <t>-ป้ายจราจรกระพริบพลังแสงอาทิตย์ ขนาดเส้นผ่าศูนย์กลาง 
0.75 เมตร 20 ป้าย</t>
  </si>
  <si>
    <t>คาดว่าจะเบิกเงินล่วงหน้า 15 % เป็นเงิน 2,350,795.14 บาท 
ภายในเดือน พ.ค. 61  (กำหนดการจ่ายเงิน เป็นงวดๆ จำนวน 16 งวด )</t>
  </si>
  <si>
    <t>กิจกรรมย่อย ก่อสร้างเขื่อนป้องกันตลิ่งริมแม่น้ำเจ้าพระยา หมู่ที่ 10ตำบลบ้านป้อม อำเภอพระนครศรีอยุธยา
จังหวัดพระนครศรีอยุธยา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</si>
  <si>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ก่อสร้างเขื่อนป้องกันตลิ่งริมแม่น้ำเจ้าพระยา หมู่ที่ 10
 ตำบลบ้านป้อม อำเภอพระนครศรีอยุธยา  จังหวัดพระนครศรีอยุธยา</t>
    </r>
  </si>
  <si>
    <r>
      <rPr>
        <b/>
        <sz val="17"/>
        <rFont val="TH SarabunPSK"/>
        <family val="2"/>
      </rPr>
      <t>กิจกรรมย่อย</t>
    </r>
    <r>
      <rPr>
        <sz val="17"/>
        <rFont val="TH SarabunPSK"/>
        <family val="2"/>
      </rPr>
      <t xml:space="preserve"> ส่งเสริมการถ่ายทอดเทคโนโลยีผลิตภัณฑ์ชุมชน เพื่อสร้างมาตรฐานผลิตภัณฑ์และเพิ่มมูลค่าทางเศรษฐกิจ</t>
    </r>
  </si>
  <si>
    <r>
      <rPr>
        <b/>
        <sz val="17"/>
        <rFont val="TH SarabunPSK"/>
        <family val="2"/>
      </rPr>
      <t>กิจกรรมย่อย</t>
    </r>
    <r>
      <rPr>
        <sz val="17"/>
        <rFont val="TH SarabunPSK"/>
        <family val="2"/>
      </rPr>
      <t xml:space="preserve"> ศึกษาการพัฒนาและส่งเสริมผลิตภัณฑ์ชุมชน เพื่อเพิ่มมูลค่าทางเศรษฐกิจและส่งเสริมการท่องเที่ยว</t>
    </r>
  </si>
  <si>
    <r>
      <rPr>
        <b/>
        <sz val="17"/>
        <rFont val="TH SarabunPSK"/>
        <family val="2"/>
      </rPr>
      <t>กิจกรรมย่อย</t>
    </r>
    <r>
      <rPr>
        <sz val="17"/>
        <rFont val="TH SarabunPSK"/>
        <family val="2"/>
      </rPr>
      <t xml:space="preserve"> พัฒนาผลิตภัณฑ์และบรรจุภัณฑ์ ด้วยนวัตกรรมและภูมิปัญญาที่สร้างสรรค์</t>
    </r>
  </si>
  <si>
    <t>ครุภัณฑ์
-เครื่องตรวจหัวใจด้วยคลื่นเสียงความถี่สูง จำนวน 1 เครื่อง</t>
  </si>
  <si>
    <t>-เครื่องล้างตัวกรองอัตโนมัติ จำนวน 1 เครื่อง</t>
  </si>
  <si>
    <t>-เครื่องเอกซเรย์เคลื่อนที่ดิจิตอลไม่น้อยกว่า300 mA จำนวน1เครื่อง</t>
  </si>
  <si>
    <t>กิจกรรมย่อย ส่งเสริมอาชีพเพื่อสร้างรายได้ให้กับชุมชน 
"คนเมืองมีถัง คนบ้านมีโอ่ง" ครั้งที่ 2</t>
  </si>
  <si>
    <t>กิจกรรมย่อย  ประเพณีแห่เทียนพรรษาทางน้ำ 
อำเภอพระนครศรีอยุธยา</t>
  </si>
  <si>
    <t>กิจกรรมย่อย ปรับปรุงภูมิทัศน์ รักษ์สิ่งแวดล้อม 
จังหวัดพระนครศรีอยุธยา ประจำปี 2561</t>
  </si>
  <si>
    <t>กิจกรรมย่อย เขื่อนป้องกันตลิ่ง และปรับปรุงภูมิทัศน์บริเวณตลาดหน้าพิพิธภัณฑสถานแห่งชาติ จันทรเกษม ริมแม่น้ำลพบุรี
 (ระยะที่ 2) ตำบลหอรัตนไชย อำเภอพระนครศรีอยุธยา  
จังหวัดพระนครศรีอยุธยา</t>
  </si>
  <si>
    <t>กิจกรรม 2.9 ประเพณีแห่เทียนพรรษาทางน้ำ  อำเภอพระนครศรีอยุธยา</t>
  </si>
  <si>
    <t>กิจกรรม 4.5 ปรับปรุงภูมิทัศน์ รักษ์สิ่งแวดล้อม จังหวัดพระนครศรีอยุธยา ประจำปี 2561</t>
  </si>
  <si>
    <t>กิจกรรม 11.3 ส่งเสริมการถ่ายทอดเทคโนโลยีผลิตภัณฑ์ชุมชน เพื่อสร้างมาตรฐานผลิตภัณฑ์และเพิ่มมูลค่าทางเศรษฐกิจ</t>
  </si>
  <si>
    <t>กิจกรรม 11.4 ศึกษาการพัฒนาและส่งเสริมผลิตภัณฑ์ชุมชน เพื่อเพิ่มมูลค่าทางเศรษฐกิจและส่งเสริมการท่องเที่ยว</t>
  </si>
  <si>
    <t>กิจกรรม 11.5 พัฒนาผลิตภัณฑ์และบรรจุภัณฑ์ ด้วยนวัตกรรมและภูมิปัญญาที่สร้างสรรค์</t>
  </si>
  <si>
    <t>อนุมัติครั้ง 75
15/5/2561</t>
  </si>
  <si>
    <t>อนุมัติครั้ง 76
15/5/2561</t>
  </si>
  <si>
    <t xml:space="preserve">ครุภัณฑ์
- เรือท้องแบนกำจัดผักตบชวาพร้อมระบบสายพานลำเลียง 
เครื่องยนต์ชนิดหางสั้นและเทรลเลอร์ลากจูง </t>
  </si>
  <si>
    <t>อนุมัติครั้ง 79
21/5/2561</t>
  </si>
  <si>
    <t>อนุมัติครั้ง 78
21/5/2561</t>
  </si>
  <si>
    <t>อนุมัติครั้ง 77
21/05/2561</t>
  </si>
  <si>
    <t>คงเหลืองบประมาณที่เป็นเงินเหลือจ่าย  (งบประจำ) + เงินเหลือจ่าย  (งบลงทุน)</t>
  </si>
  <si>
    <t xml:space="preserve">   สนจ.อย. /สนง.ปชส.</t>
  </si>
  <si>
    <t>กิจกรรม 3.3 ก่อสร้างถนนคอนกรีตเสริมเหล็กทางเข้าวัดกระซ้ายเพื่อส่งเสริมการท่องเที่ยว</t>
  </si>
  <si>
    <t>ผลการเบิกจ่าย(งบดำเนินงาน)</t>
  </si>
  <si>
    <t>ผลการเบิกจ่าย(งบลงทุน)</t>
  </si>
  <si>
    <t>งปม.ได้รับจัดสรร</t>
  </si>
  <si>
    <t>สนจ.อย/ทกจ.</t>
  </si>
  <si>
    <t>คาดว่าจะสามารถเบิกจ่ายภายในเดือนกันยายน 2561</t>
  </si>
  <si>
    <t>กำหนดจ่ายเงิน เป็น 7 งวด  ได้แก่
งวดที่ 1 เป็นจำนวนเงิน 30,399 บาทภายในวันที่ 21 มิ.ย. 61
งวดที่ 2 เป็นจำนวนเงิน 911,970 บาทภายในวันที่ 6   ก.ค. 61
งวดที่ 3 เป็นจำนวนเงิน 911,970 บาทภายในวันที่ 5  ส.ค. 61
งวดที่ 4 เป็นจำนวนเงิน 303,990 บาทภายในวันที่ 19 ก.ย. 61
งวดที่ 5 เป็นจำนวนเงิน 121,596 บาทภายในวันที่ 4  ต.ค. 61
งวดที่ 6 เป็นจำนวนเงิน 455,985  บาทภายในวันที่ 8 พ.ย. 61
งวดที่ 7 เป็นจำนวนเงิน 303,990  บาทภายในวันที่ 18 พ.ย. 61</t>
  </si>
  <si>
    <t>กำหนดจ่ายเงิน 14 งวด ได้แก่
งวดที่ 1 เป็นจำนวนเงิน 274,000 บาท แล้วเสร็จ 19 ก.ค. 61
งวดที่ 2 เป็นจำนวนเงิน 808,300 บาท แล้วเสร็จ 18 ส.ค. 61
งวดที่ 3 เป็นจำนวนเงิน 808,300 บาท แล้วเสร็จ 17 ก.ย. 61
งวดที่ 4 เป็นจำนวนเงิน 808,300 บาท แล้วเสร็จ 17 ต.ค.61
งวดที่ 5 เป็นจำนวนเงิน 808,300 บาท แล้วเสร็จ 16 พ.ย. 61
งวดที่ 6 เป็นจำนวนเงิน 808,300 บาท แล้วเสร็จ 16 ธ.ค. 61</t>
  </si>
  <si>
    <t>งวดที่ 7 เป็นจำนวนเงิน 808,300 บาท แล้วเสร็จ  5 ม.ค. 62
งวดที่ 8 เป็นจำนวนเงิน 808,300 บาท แล้วเสร็จ  25 ม.ค. 62
งวดที่ 9 เป็นจำนวนเงิน 1,301,500  บาท แล้วเสร็จ  14 ก.พ. 62
งวดที่ 10 เป็นจำนวนเงิน 822,000  บาท แล้วเสร็จ  6 มี.ค. 62
งวดที่ 11 เป็นจำนวนเงิน 2,055,000   บาท แล้วเสร็จ  26 มี.ค. 62
งวดที่ 12 เป็นจำนวนเงิน 1,096,000   บาท แล้วเสร็จ 15 เม.ย. 62
งวดที่ 13  เป็นจำนวนเงิน 411,000   บาท แล้วเสร็จ 5 พ.ค. 62
งวดที่ 14  เป็นจำนวนเงิน 2,082,400   บาท แล้วเสร็จ 25 พ.ค. 62</t>
  </si>
  <si>
    <t>กำหนดจ่ายเงิน เป็น 5 งวด ได้แก่
งวดที่ 1 เป็นจำนวนเงิน 270,602.03 บาท  แล้วเสร็จภายในวันที่ 30 มิ.ย. 61 
งวดที่ 2 เป็นจำนวนเงิน 2,255,016.90 บาท  แล้วเสร็จภายในวันที่ 28 ก.ย. 61
งวดที่ 3 เป็นจำนวนเงิน 2,255,016.90 บาท  แล้วเสร็จภายในวันที่ 27 ธ.ค. 61
งวดที่ 4 เป็นจำนวนเงิน 1,984,414.87 บาท  แล้วเสร็จภายในวันที่  25 ก.พ. 62
งวดที่ 5 เป็นจำนวนเงิน 2,255,016.90 บาท แล้วเสร็จภายในวันที่ 26 พ.ค. 62</t>
  </si>
  <si>
    <t>อนุมัติครั้ง 80
05/6/2561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</si>
  <si>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เขื่อนป้องกันตลิ่ง และปรับปรุงภูมิทัศน์บริเวณตลาดหน้าพิพิธภัณฑสถานแห่งชาติ จันทรเกษม ริมแม่น้ำลพบุรี (ระยะที่ 2) ตำบลหอรัตนไชย
อำเภอพระนครศรีอยุธยา  จังหวัดพระนครศรีอยุธยา</t>
    </r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</si>
  <si>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 xml:space="preserve">- ก่อสร้างเขื่อนป้องกันตลิ่งและปรับปรุงภูมิทัศน์ริมแม่น้ำเจ้าพระยา 
บริเวณวัดนักบุญยอแซฟอยุธยา ตำบลสำเภาล่ม อำเภอพระนครศรีอยุธยา </t>
    </r>
  </si>
  <si>
    <t>กำหนดจ่ายเงิน 3 งวด ได้แก่
งวดที่ 1 เป็นจำนวนเงิน 2,250,000 บาท แล้วเสร็จภายใน 6 ส.ค. 61
งวดที่ 2 เป็นจำนวนเงิน 900,000 บาท แล้วเสร็จภายใน 5 ก.ย. 61
งวดที่ 3 เป็นจำนวนเงิน 1,350,000 บาท แล้วเสร็จภายใน 20 ต.ค. 61</t>
  </si>
  <si>
    <t>กิจกรรม 10.9 การประเมินผลผลิตกุ้งก้ามกรามในแม่น้ำ4 สายหลักจังหวัดพระนครศรีอยุธยา</t>
  </si>
  <si>
    <t xml:space="preserve">ผลการเบิกจ่ายโครงการงบประมาณรายจ่ายประจำปีงบประมาณ พ.ศ. 2561  จังหวัดพระนครศรีอยุธยา  </t>
  </si>
  <si>
    <t>อนุมัติครั้ง 81
6/6/2561</t>
  </si>
  <si>
    <t>กำหนดจ่ายเงิน เป็น 2 งวด ได้แก่  เบิกล่วงหน้า 50 % เรียบร้อยแล้ว
งวดที่ 1 เป็นจำนวนเงิน 655,000 บาท ให้แล้วเสร็จภายใน 29 ก.ค.  61
งวดที่ 2 เป็นจำนวนเงิน 655,000 บาท ให้แล้วเสร็จภายใน 27 ก.ย. 61</t>
  </si>
  <si>
    <r>
      <rPr>
        <b/>
        <sz val="17"/>
        <color theme="1"/>
        <rFont val="TH SarabunPSK"/>
        <family val="2"/>
      </rPr>
      <t>ค่าครุภัณฑ์</t>
    </r>
    <r>
      <rPr>
        <sz val="17"/>
        <color theme="1"/>
        <rFont val="TH SarabunPSK"/>
        <family val="2"/>
      </rPr>
      <t xml:space="preserve">
-กล้องตรวจจับรถยนต์ผู้กระทำผิดฝ่าฝืนกฎหมายจราจรและอุปกรณ์ต่อพ่วง10 แห่ง</t>
    </r>
  </si>
  <si>
    <t>ให้หน่วยงานทำหนังสือขอยกเลิก เนื่องจากไม่เป็นไปตามหลักเกณฑ์ กบภ.</t>
  </si>
  <si>
    <t>ส่งเบิกเงิน 15 % เรียบร้อยแล้ว กำหนดจ่ายเงิน เป็น 5 งวด ได้แก่
งวดที่ 1 เป็นเงิน 1,333,184.45 บาท แล้วเสร็จภายใน วันที่ 28 มิ.ย. 61
งวดที่ 2 เป็นเงิน 3,403,123.85  บาท แล้วเสร็จภายใน วันที่ 28 ก.ค.61
งวดที่ 3 เป็นเงิน 3,427,417.87  บาท แล้วเสร็จภายใน วันที่ 27 ส.ค. 61
งวดที่ 4 เป็นเงิน 4,984,904.72  บาท แล้วเสร็จภายใน วันที่ 26 ก.ย. 61
งวดที่ 5 เป็นเงิน 3,143,363.99 บาท แล้วเสร็จภายใน วันที่ 26 ต.ค. 61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</si>
  <si>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ก่อสร้างระบบคูน้ำเพื่อการกระจายน้ำสู่พื้นที่แปลงใหญ่ 1 แปลง 
และ ค่าอำนวยการและค่าควบคุมงาน</t>
    </r>
  </si>
  <si>
    <t>ค่าที่ดินสิ่งก่อสร้าง
-ซ่อมแซมถนนคอนกรีตเสริมเหล็ก หมู่ที่ 2 ตำบลตานิม อำเภอบางปะหัน</t>
  </si>
  <si>
    <r>
      <rPr>
        <b/>
        <sz val="17"/>
        <color theme="1"/>
        <rFont val="TH SarabunPSK"/>
        <family val="2"/>
      </rPr>
      <t>ค่าที่ดินและสิ่งก่อสร้าง</t>
    </r>
    <r>
      <rPr>
        <sz val="17"/>
        <color theme="1"/>
        <rFont val="TH SarabunPSK"/>
        <family val="2"/>
      </rPr>
      <t xml:space="preserve">
- ก่อสร้างระบบน้ำเพื่อนำน้ำเข้าสู่พื้นที่เกษตร (ระบบท่อ) หมูที่ 1 - 4 
ตำบลบ้านม้า อำเภอบางปะหัน จังหวัดพระนครศรีอยุธยา 1 แห่ง</t>
    </r>
  </si>
  <si>
    <t xml:space="preserve">ค่าที่ดินและสิ่งก่อสร้าง
-ปรับปรุงถนนคสล.หมู่ที่8บ้านรางเนื้อตาย ตำบลเทพมงคล </t>
  </si>
  <si>
    <t>ค่าที่ดินสิ่งก่อสร้าง
-  ก่อสร้างถนนคอนกรีตเสริมเหล็ก หมู่ที่ 10 ตำบลปลายกลัด</t>
  </si>
  <si>
    <t>กิจกรรมย่อย  ก่อสร้างถนนคอนกรีตเสริมเหล็ก หมู่ที่ 3 
ตำบลสำพะเนียง</t>
  </si>
  <si>
    <r>
      <rPr>
        <b/>
        <u val="double"/>
        <sz val="17"/>
        <rFont val="TH SarabunPSK"/>
        <family val="2"/>
      </rPr>
      <t xml:space="preserve">งบลงทุน </t>
    </r>
    <r>
      <rPr>
        <b/>
        <u val="double"/>
        <sz val="17"/>
        <color theme="0"/>
        <rFont val="TH SarabunPSK"/>
        <family val="2"/>
      </rPr>
      <t xml:space="preserve"> </t>
    </r>
    <r>
      <rPr>
        <sz val="17"/>
        <color theme="0"/>
        <rFont val="TH SarabunPSK"/>
        <family val="2"/>
      </rPr>
      <t>ค่าป้ายประชาสัมพันธ์โครงการ</t>
    </r>
  </si>
  <si>
    <t>ค่าที่ดินสิ่งก่อสร้าง
-  ก่อสร้างถนน (ถนนเลียบคลองหนองรี) หมู่ที่ 2,3 ตำบลขนอนหลวง</t>
  </si>
  <si>
    <t>ค่าที่ดินและสิ่งก่อสร้าง
- ก่อสร้างถนนคอนกรีตเสริมเหล็กเส้นทางโรงสีมูลนิธิชัยพัฒนา</t>
  </si>
  <si>
    <r>
      <rPr>
        <b/>
        <sz val="17"/>
        <color theme="1"/>
        <rFont val="TH SarabunPSK"/>
        <family val="2"/>
      </rPr>
      <t xml:space="preserve">ค่าที่ดินและสิ่งก่อสร้าง
</t>
    </r>
    <r>
      <rPr>
        <sz val="17"/>
        <color theme="1"/>
        <rFont val="TH SarabunPSK"/>
        <family val="2"/>
      </rPr>
      <t>-  ก่อสร้างโรงเรือน หมู่ที่ 4 ตำบลนาคู อำเภอผักไห่ จำนวน  4 โรงเรือน</t>
    </r>
  </si>
  <si>
    <t>ดำเนืนการแล้วเสร็จ</t>
  </si>
  <si>
    <t>อนุมัติครั้ง 82
5/7/2561</t>
  </si>
  <si>
    <t>- อยู่ระหว่างการขายแบบ ถึงวันที่ 19 ก.ค. 61
-  คาดว่าจะได้ผู้รับจ้างภายในเดือนสิงหาคม 2561</t>
  </si>
  <si>
    <t>กิจกรรม 6.13  ก่อสร้างถนน คสล. (ถนนเลียบคลองหนองรี) หมู่ที่ 2,3  ตำบลขนอนหลวง อำเภอบางปะอิน</t>
  </si>
  <si>
    <r>
      <rPr>
        <b/>
        <sz val="17"/>
        <color rgb="FFFF0000"/>
        <rFont val="TH SarabunPSK"/>
        <family val="2"/>
      </rPr>
      <t xml:space="preserve">กิจกรรมที่ 7 </t>
    </r>
    <r>
      <rPr>
        <sz val="17"/>
        <color rgb="FFFF0000"/>
        <rFont val="TH SarabunPSK"/>
        <family val="2"/>
      </rPr>
      <t>ส่งเสริมการท่องเที่ยวตามรอยประวัติศาสตร์
จังหวัดพระนครศรีอยุธยา</t>
    </r>
  </si>
  <si>
    <t>พ.ร.บ.โอน</t>
  </si>
  <si>
    <t>กิจกรรม 10.11  ส่งเสริมอาชีพเพื่อสร้างรายได้ให้กับชุมชน "คนเมืองมีถัง คนบ้านมีโอ่ง"ครั้งที่ 2</t>
  </si>
  <si>
    <t>กิจกรรม 10.12  ส่งเสริมอาชีพเพื่อสร้างรายได้ให้กับชุมชน "คนเมืองมีถัง คนบ้านมีโอ่ง"ครั้งที่ 3</t>
  </si>
  <si>
    <t>กิจกรรม 4.6 ปลูกต้นไม้เฉลิมพระเกียรติสมเด็จพระเจ้าอยู่หัวมหาวชิราลงกรณ บดินทรเทพยวรางกูร 
เนื่องในโอกาสวันเฉลิมพระชนมพรรษา 66 พรรษา</t>
  </si>
  <si>
    <t>กิจกรรม 2.10 การแสดงดนตรีในสวนเสริมสร้างความปรองดองสมานฉันท์ "กรุงเก่าเล่าขานตำนานเพลง"</t>
  </si>
  <si>
    <t>สนง.ปชส.</t>
  </si>
  <si>
    <t>กิจกรรม 14.8  ปรับปรุงซ่อมแซมผิวจราจรถนนลูกรังจากหนองสิงห์ เชื่อมถนนโพธิ์พระยา-ท่าเรือ ตำบลโรงช้าง อำเภอมหาราช</t>
  </si>
  <si>
    <t>กิจกรรม 9.14 ขุดลอกคูส่งน้ำ หมู่ที่ 1 , 2 ตำบลสามไถ อำเภอนครหลวง จังหวัดพระนครศรีอยุธยา</t>
  </si>
  <si>
    <t>กิจกรรม 9.16  ปรับปรุงเส้นทางจราจร เพื่อสร้างความปลอดภัยจังหวัดพระนครศรีอยุธยา</t>
  </si>
  <si>
    <t>อำเภอนครหลวง</t>
  </si>
  <si>
    <t>แขวงทางหลวงอยุธยา</t>
  </si>
  <si>
    <t>กิจกรรม 12.8 พัฒนาอาชีพอย่างยั่งยืนในพระราชดำริ สมเด็จพระเทพรัตนราชสุดาฯ 
สยามบรมราชกุมารี</t>
  </si>
  <si>
    <t>กิจกรรมย่อย ส่งเสริมอาชีพเพื่อสร้างรายได้ให้กับชุมชน 
"คนเมืองมีถัง คนบ้านมีโอ่ง" ครั้งที่ 3</t>
  </si>
  <si>
    <t>อนุมัติครั้ง 84
31/7/2561</t>
  </si>
  <si>
    <t>สรุปงบประมาณ ประเด็นยุทธศาสตร์ที่ 3 จำนวน 5 โครงการ 35 กิจกรรมย่อย</t>
  </si>
  <si>
    <t>สรุปงบประมาณ ประเด็นยุทธศาสตร์ที่ 2 จำนวน 6 โครงการ 41 กิจกรรมย่อย</t>
  </si>
  <si>
    <t>กิจกรรม 16.6 จัดระเบียบป้ายในบริเวณรอบเกาะเมืองโดยรอบเพื่อส่งเสริมการท่องเที่ยว</t>
  </si>
  <si>
    <t>กิจกรรม 16.7 ปรับปรุงดูแล และพัฒนาศูนย์ควบคุมสั่งการจราจรและความปลอดภัยเพื่อการท่องเที่ยว</t>
  </si>
  <si>
    <t>กิจกรรม 16.8 ป้ายจราจรเพื่อบังคับใช้กฎหมายรักษาวินัยจราจร</t>
  </si>
  <si>
    <t>กิจกรรม 16.9 บังคับใช้กฎหมายจราจรโดยใช้เทคโนโลยี</t>
  </si>
  <si>
    <t>กิจกรรม 16.10 ป้ายจราจรอัจฉริยะเพื่อการท่องเที่ยว Intelligence Traffic Signs</t>
  </si>
  <si>
    <t>กิจกรรม 16.11 อยุธยาเฟสติวัล : มหกรรมดนตรีศรีอยุธยาวัฒนธรรมไพร่ฟ้าแห่งแผ่นดิน</t>
  </si>
  <si>
    <t xml:space="preserve">สรุปงบประมาณ แผนงานบูรณการภาค  จำนวน 2 โคงการ 14 กิจกรรมย่อย </t>
  </si>
  <si>
    <t>กิจกรรมย่อย พัฒนาอาชีพอย่างยั่งยืนในพระราชดำริ สมเด็จพระเทพรัตนราชสุดาฯ สยามบรมราชกุมารี</t>
  </si>
  <si>
    <t>กิจกรรมย่อย ปรับปรุงซ่อมแซมผิวจราจรถนนลูกรังจากหนองสิงห์ เชื่อมถนนโพธิ์พระยา-ท่าเรือ ตำบลโรงช้าง อำเภอมหาราช</t>
  </si>
  <si>
    <t>กิจกรรมย่อย การแสดงดนตรีในสวนเสริมสร้างความปรองดองสมานฉันท์ "กรุงเก่าเล่าขานตำนานเพลง"</t>
  </si>
  <si>
    <t>กิจกรรมย่อย  ปลูกต้นไม้เฉลิมพระเกียรติสมเด็จพระเจ้าอยู่หัวมหาวชิราลงกรณ บดินทรเทพยวรางกูร 
เนื่องในโอกาสวันเฉลิมพระชนมพรรษา 66 พรรษา</t>
  </si>
  <si>
    <t>กิจกรรมย่อย ปรับปรุงเส้นทางจราจร เพื่อสร้างความปลอดภัยจังหวัดพระนครศรีอยุธยา</t>
  </si>
  <si>
    <t>แขวงทางอยุธยา</t>
  </si>
  <si>
    <t>ปรับปรุงเส้นทางจราจรเพื่อสร้างความปลอดภัยจังหวัดพระนครศรีอยุธยา</t>
  </si>
  <si>
    <t>กิจกรรมย่อย ขุดลอกคูส่งน้ำ หมู่ที่ 1 , 2 ตำบลสามไถ อำเภอนครหลวง จังหวัดพระนครศรีอยุธยา</t>
  </si>
  <si>
    <t>กิจกรรมย่อย ปรับปรุงซ่อมแซมถนนลูกรังสายบึงอ้อ-สุดเขต หมู่ที่  2 ตำบลสามไถ อำเภอนครหลวง จังหวัดพระนครศรีอยุธยา</t>
  </si>
  <si>
    <t>กิจกรรมย่อย ปรับปรุงระบบป้องกันน้ำท่วมพื้นที่บริเวณหน้าเจดีย์พระศรีสุริโยทัย ตำบลประตูชัย 
อำเภอพระนครศรีอยุธยา จังหวัดพระนครศรีอยุธยา</t>
  </si>
  <si>
    <t>ค่าที่ดินสิ่งก่อสร้าง
-ปรับปรุงระบบป้องกันน้ำท่วมพื้นที่บริเวณหน้าเจดีย์พระศรีสุริโยทัย 
ตำบลประตูชัย   อำเภอพระนครศรีอยุธยา จังหวัดพระนครศรีอยุธยา</t>
  </si>
  <si>
    <t>สรุปงบประมาณ ประเด็นยุทธศาสตร์ที่ 1 จำนวน 3 โครงการ  15 กิจกรรมย่อย</t>
  </si>
  <si>
    <t>อนุมัติครั้ง 86
7/8/2561</t>
  </si>
  <si>
    <t>อนุมัติครั้ง 85
2/8/2561</t>
  </si>
  <si>
    <t>อนุมัติครั้ง 83
20/7/2561</t>
  </si>
  <si>
    <t>อนุมัติครั้ง 87
07/8/2561</t>
  </si>
  <si>
    <t>รวมงบประมาณทั้งสิ้น 100  กิจกรรมย่อย และ 1 รายการค่าใช้จ่าย</t>
  </si>
  <si>
    <r>
      <rPr>
        <b/>
        <sz val="17"/>
        <color theme="1"/>
        <rFont val="TH SarabunPSK"/>
        <family val="2"/>
      </rPr>
      <t>กิจกรรมที่ 5</t>
    </r>
    <r>
      <rPr>
        <sz val="17"/>
        <color theme="1"/>
        <rFont val="TH SarabunPSK"/>
        <family val="2"/>
      </rPr>
      <t xml:space="preserve"> แรลลี่ส่งเสริมการท่องเที่ยวจังหวัดพระนครศรีอยุธยา  
"แต่งชุดไทย ไปอยุธยา"</t>
    </r>
  </si>
  <si>
    <t xml:space="preserve">โคงการที่ขอรับการสนับสนุนงบประมาณที่เป็นเงินเหลือจ่าย  จำนวน 1 กิจกรรมย่อย (มติ ก.บ.จ. ครั้งที่ 5/2561 ลว.8 ส.ค. 61)
</t>
  </si>
  <si>
    <t xml:space="preserve">โคงการที่ขอรับการสนับสนุนงบประมาณที่เป็นเงินเหลือจ่าย  จำนวน 8 กิจกรรมย่อย (มติ ก.บ.จ. ครั้งที่ 4/2561 ลว. 18 ก.ค. 61)
</t>
  </si>
  <si>
    <t xml:space="preserve">โคงการที่ขอรับการสนับสนุนงบประมาณที่เป็นเงินเหลือจ่าย  จำนวน 8 กิจกรรมย่อย (มติ ก.บ.จ. ครั้งที่ 3/2561 ลว. 25 เม.ย. 61)
</t>
  </si>
  <si>
    <t>อนุมัติครั้ง 91
20/8/2561</t>
  </si>
  <si>
    <t>อนุมัติครั้ง 89
15/8/2561</t>
  </si>
  <si>
    <t>ค่าที่ดินและสิ่งก่อสร้าง
- ก่อสร้างอาคารโรงสี  / ขุดบ่อปลาพร้อมซ่อมแซมประตูระบายน้ำ</t>
  </si>
  <si>
    <t>อนุมัติครั้ง 90
20/8/2561</t>
  </si>
  <si>
    <t>อนุมัติครั้ง 88
15/8/2561</t>
  </si>
  <si>
    <t>อยู่ระหว่างส่งมอบงาน สัญญาสิ้นสุดในวันที่ 23 ก.ย. 61</t>
  </si>
  <si>
    <r>
      <t xml:space="preserve">กำหนดจ่ายเงิน 4 งวด ได้แก่ </t>
    </r>
    <r>
      <rPr>
        <b/>
        <sz val="17"/>
        <color theme="1"/>
        <rFont val="TH SarabunPSK"/>
        <family val="2"/>
      </rPr>
      <t>(อยู่ระหว่างผู้รับจ้างส่งมอบงาน)</t>
    </r>
    <r>
      <rPr>
        <sz val="17"/>
        <color theme="1"/>
        <rFont val="TH SarabunPSK"/>
        <family val="2"/>
      </rPr>
      <t xml:space="preserve">
งวดที่ 1 เป็นจำนวนเงิน 836,550 บาท ให้แล้วเสร็จภายใน 24 พ.ค. 61
งวดที่ 2 เป็นจำนวนเงิน 1,045,687.50 บาท ให้แล้วเสร็จภายใน 23 มิ.ย. 61
งวดที่ 3 เป็นจำนวนเงิน 1,254,825 บาท ให้แล้วเสร็จภายใน 23 ก.ค. 61
งวดที่ 4 เป็นจำนวนเงิน 1,045,687.50 บาท ให้แล้วเสร็จภายใน 22  ส.ค. 61</t>
    </r>
  </si>
  <si>
    <t>ลงนามในสัญญาจ้างแล้ว อยู่ระหว่างผู้รับจ้างดำเนินการ</t>
  </si>
  <si>
    <r>
      <t xml:space="preserve">กำหนดการจ่ายเงิน 3 งวด ได้แก่ </t>
    </r>
    <r>
      <rPr>
        <b/>
        <sz val="17"/>
        <color theme="1"/>
        <rFont val="TH SarabunPSK"/>
        <family val="2"/>
      </rPr>
      <t xml:space="preserve">ผู้รับจ้าง ยังไม่เข้าทำงาน </t>
    </r>
    <r>
      <rPr>
        <sz val="17"/>
        <color theme="1"/>
        <rFont val="TH SarabunPSK"/>
        <family val="2"/>
      </rPr>
      <t xml:space="preserve">
งวดที่ 1 เป็นจำนวนเงิน 2,250,000 บาท แล้วเสร็จภายใน 6 ส.ค. 61
งวดที่ 2 เป็นจำนวนเงิน 900,000 บาท แล้วเสร็จภายใน 5 ก.ย. 61
งวดที่ 3 เป็นจำนวนเงิน 1,350,000 บาท แล้วเสร็จภายใน 20 ต.ค. 61</t>
    </r>
  </si>
  <si>
    <t>อยู่ระหว่างขายแบบ</t>
  </si>
  <si>
    <t>กิจกรรมย่อย  ก่อสร้างเขื่อนป้องกันตลิ่งและปรับปรุงภูมิทัศน์บริเวณวัดโตนด(1) ระยะที่ 2 ตำบลข้าวเม่า อำเภออุทัย</t>
  </si>
  <si>
    <t>กันเงินเหลื่อมปี เป็นเงิน 2,850,000 บาท</t>
  </si>
  <si>
    <t>กันเงินเหลื่อมปี เป็นเงิน 1,040,000  บาท</t>
  </si>
  <si>
    <r>
      <t xml:space="preserve">กันเงินเหลื่อมปี   กำหนดจ่ายเงิน เป็น 4 งวด </t>
    </r>
    <r>
      <rPr>
        <sz val="17"/>
        <color rgb="FFFF0000"/>
        <rFont val="TH SarabunPSK"/>
        <family val="2"/>
      </rPr>
      <t xml:space="preserve"> </t>
    </r>
    <r>
      <rPr>
        <sz val="17"/>
        <rFont val="TH SarabunPSK"/>
        <family val="2"/>
      </rPr>
      <t xml:space="preserve">
งวดที่ 1 เป็นเงิน 327,500 บาท เมื่อส่งมอบงานแล้วเสร็จภายใน 23 พ.ค. 2561
งวดที่ 2 เป็นเงิน 2,292,500 บาท เมื่อส่งมอบงานแล้วเสร็จภายใน 17 ก.ค. 2561
งวดที่ 3 เป็นเงิน 2,292,500 บาท เมื่อส่งมอบงานแล้วเสร็จภายใน 31 ส.ค. 2561
งวดที่ 4 เป็นเงิน 1,637,500 บาท เมื่อส่งมอบงานแล้วเสร็จภายใน 30 ก.ย. 2561</t>
    </r>
  </si>
  <si>
    <t>กิจกรรมย่อย พัฒนารูปแบบสินค้า และบรรจุภัณฑ์ ด้วยนวัตกรรม และภูมิปัญญาที่สร้างสรรค์</t>
  </si>
  <si>
    <t>กิจกรรมที่ 2 นำเสนอการประกวดออกแบบพัฒนาบรรจุภัณฑ์ และจำหน่ายสินค้า OTOP (งบประมาณ 1,703,700 บาท)  คาดว่าจะจัดงานประมาณเดือนสิงหาคม 2561</t>
  </si>
  <si>
    <t xml:space="preserve">กันเงินเหลือมปี </t>
  </si>
  <si>
    <t>กันเงินเหลื่อมปี</t>
  </si>
  <si>
    <t>กิจกรรมย่อย เพิ่มศักยภาพกลุ่มจัดการดินปุ๋ยชุมชนอำเภอเสนา</t>
  </si>
  <si>
    <t>ที่ดินและสิ่งก่อสร้าง
ขุดลอกคลองหมอนทองหมู่ที่1และหมู่ที่ 2 ตำบลลำตะเคียน อำเภอผักไห่</t>
  </si>
  <si>
    <r>
      <rPr>
        <u/>
        <sz val="17"/>
        <rFont val="TH SarabunPSK"/>
        <family val="2"/>
      </rPr>
      <t>สนจ.อย</t>
    </r>
    <r>
      <rPr>
        <sz val="17"/>
        <rFont val="TH SarabunPSK"/>
        <family val="2"/>
      </rPr>
      <t xml:space="preserve">   กำหนดจัดงาน วันที่ 28-30 ก.ย. 2561</t>
    </r>
  </si>
  <si>
    <t>กันเงินเหลื่อมปี เป็นเงิน 1,075,350  บาท</t>
  </si>
  <si>
    <t>กันเงินเหลื่อมปี  10,420,000 บาท</t>
  </si>
  <si>
    <t>กิจกรรม 9.15 ปรับปรุงซ่อมแซมถนนลูกรังสายบึงอ้อ-สุดเขต หมู่ที่  2 ตำบลสามไถ อำเภอนครหลวง 
จังหวัดพระนครศรีอยุธยา</t>
  </si>
  <si>
    <t xml:space="preserve">กิจกรรม 9.12  ก่อสร้างถนน คสล. (ฝั่งเหนือ) บริเวณปากทางสายอยุธยา-สุพรรณบุรี ไปถึงสะพานปูน ม.5 ตำบลบางซ้าย  อำเภอบางซ้าย </t>
  </si>
  <si>
    <t xml:space="preserve">กิจกรรม 9.3 ปรับปรุงซ่อมแซมถนน ASPHAL TIC CONCRETE สาย 15 โค้ง ช่วงบริเวณ  หมู่ที่ 1 
ตำบลบางไทร  </t>
  </si>
  <si>
    <t>กิจกรรม 6.14  กิจกรรมย่อย เขื่อนป้องกันตลิ่ง และปรับปรุงภูมิทัศน์บริเวณตลาดหน้าพิพิธภัณฑสถานแห่งชาติจันทรเกษม ริมแม่น้ำลพบุรี  (ระยะที่ 2) ตำบลหอรัตนไชย อำเภอพระนครศรีอยุธยา
จังหวัดพระนครศรีอยุธยา</t>
  </si>
  <si>
    <t>กิจกรรม 4.3  อยุธยาเมืองประวัติศาสตร์ บ้านเรือนสะอาด หน้าบ้าน น่ามอง ประจำปีงบประมาณ พ.ศ.2561</t>
  </si>
  <si>
    <t>กิจกรรม 8.2   อบรมเสริมสร้างมาตรฐานการป้องกันและแก้ไขปัญหายาเสพติดในสถานประกอบกิจการและโรงงานสีขาว ปีงบประมาณ พ.ศ. 2561</t>
  </si>
  <si>
    <t>กิจกรรม 16.4 ก่อสร้างเขื่อนป้องกันตลิ่งริมแม่น้ำเจ้าพระยา หมู่ที่ 10
ตำบลบ้านป้อม อำเภอพระนครศรีอยุธยา จังหวัดพระนครศรีอยุธยา</t>
  </si>
  <si>
    <t>กิจกรรม 16.5 ปรับปรุงระบบป้องกันน้ำท่วมพื้นที่บริเวณหน้าเจดีย์พระศรีสุริโยทัย ตำบลประตูชัย อำเภอพระนครศรีอยุธยา จังหวัดพระนครศรีอยุธยา</t>
  </si>
  <si>
    <t>กิจกรรม 16.2  เขื่อนป้องกันตลิ่งและปรับปรุงภูมิทัศน์ริมแม่น้ำเจ้าพระยาบริเวณ
วัดนักบุญยอเซฟอยุธยา อำเภอพระนครศรีอยุธยา จังหวัดพระนครศรีอยุธยา</t>
  </si>
  <si>
    <t>จัดกิจกรรมตลาดย้อนยุคสมเด็จพระนเรศวรมหาราช งปม. 2,550,000 บาท 
อยู่ระหว่างจัดงาน (กันเงินเหลื่อมปี</t>
  </si>
  <si>
    <t>เข้า พ.ร.บ. โอนงบประมาณ  5 กิจกรรมย่อย</t>
  </si>
  <si>
    <t xml:space="preserve">สรุปงบประมาณทั้งสิ้น จำนวน 16  โคงการ 100  กิจกรรมย่อย </t>
  </si>
  <si>
    <t>สรุปเงินคงเหลือจาก การโอนเปลี่ยนงบประมาณ</t>
  </si>
  <si>
    <t>คงเหลืองบประมาณที่เป็นเงินเหลือจ่าย  (งบประจำ) + เงินเหลือจ่าย  (งบลงทุน) + เงินจากโอนเปลี่ยนแปลง</t>
  </si>
  <si>
    <t>โครงการตามแผนงานบูรณาการเสริมสร้างความเข้มแข็งและยั่งยืนให้กับเศรษฐกิจภายในประเทศ ประจำปีงบประมาณ พ.ศ. 2561</t>
  </si>
  <si>
    <t>โครงการตามแผนงานบูรณาการส่งเสริมการพัฒนาจังหวัดและกลุ่มจังหวัดแบบบูรณาการ ประจำปีงบประมาณ พ.ศ. 2561</t>
  </si>
  <si>
    <t>เบิกเสร็จแล้ว</t>
  </si>
  <si>
    <t>คงเหลือยังไม่เบิก</t>
  </si>
  <si>
    <t>ยังไม่ได้เบิก</t>
  </si>
  <si>
    <t>เบิกเสร็จบางส่วน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</si>
</sst>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.00_);_(* \(#,##0.00\);_(* &quot;-&quot;_);_(@_)"/>
    <numFmt numFmtId="167" formatCode="[$-101041E]d\ mmm\ yy;@"/>
    <numFmt numFmtId="168" formatCode="[$-D01041E]d\ mmm\ yy;@"/>
    <numFmt numFmtId="169" formatCode="[$-1010000]d/m/yy;@"/>
    <numFmt numFmtId="170" formatCode="_-* #,##0.0_-;\-* #,##0.0_-;_-* &quot;-&quot;??_-;_-@_-"/>
  </numFmts>
  <fonts count="4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b/>
      <sz val="18"/>
      <color theme="0"/>
      <name val="TH SarabunPSK"/>
      <family val="2"/>
    </font>
    <font>
      <sz val="18"/>
      <name val="TH SarabunPSK"/>
      <family val="2"/>
    </font>
    <font>
      <sz val="17"/>
      <color theme="1"/>
      <name val="TH SarabunPSK"/>
      <family val="2"/>
    </font>
    <font>
      <b/>
      <sz val="17"/>
      <name val="TH SarabunPSK"/>
      <family val="2"/>
    </font>
    <font>
      <b/>
      <sz val="17"/>
      <color theme="1"/>
      <name val="TH SarabunPSK"/>
      <family val="2"/>
    </font>
    <font>
      <sz val="17"/>
      <name val="TH SarabunPSK"/>
      <family val="2"/>
    </font>
    <font>
      <sz val="17"/>
      <color theme="0"/>
      <name val="TH SarabunPSK"/>
      <family val="2"/>
    </font>
    <font>
      <b/>
      <u val="double"/>
      <sz val="17"/>
      <name val="TH SarabunPSK"/>
      <family val="2"/>
    </font>
    <font>
      <b/>
      <sz val="17"/>
      <color theme="0"/>
      <name val="TH SarabunPSK"/>
      <family val="2"/>
    </font>
    <font>
      <b/>
      <i/>
      <sz val="17"/>
      <color theme="1"/>
      <name val="TH SarabunPSK"/>
      <family val="2"/>
    </font>
    <font>
      <b/>
      <i/>
      <sz val="17"/>
      <name val="TH SarabunPSK"/>
      <family val="2"/>
    </font>
    <font>
      <b/>
      <u val="double"/>
      <sz val="17"/>
      <color rgb="FFFF0000"/>
      <name val="TH SarabunPSK"/>
      <family val="2"/>
    </font>
    <font>
      <b/>
      <sz val="17"/>
      <color rgb="FFFF0000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u/>
      <sz val="17"/>
      <name val="TH SarabunPSK"/>
      <family val="2"/>
    </font>
    <font>
      <sz val="12"/>
      <color theme="1"/>
      <name val="TH SarabunPSK"/>
      <family val="2"/>
    </font>
    <font>
      <i/>
      <sz val="18"/>
      <color theme="1"/>
      <name val="TH SarabunPSK"/>
      <family val="2"/>
    </font>
    <font>
      <b/>
      <i/>
      <sz val="18"/>
      <color theme="1"/>
      <name val="TH SarabunPSK"/>
      <family val="2"/>
    </font>
    <font>
      <u/>
      <sz val="17"/>
      <name val="TH SarabunPSK"/>
      <family val="2"/>
    </font>
    <font>
      <b/>
      <sz val="22"/>
      <color theme="1"/>
      <name val="TH SarabunPSK"/>
      <family val="2"/>
    </font>
    <font>
      <b/>
      <i/>
      <sz val="18"/>
      <color theme="0"/>
      <name val="TH SarabunPSK"/>
      <family val="2"/>
    </font>
    <font>
      <b/>
      <u val="double"/>
      <sz val="17"/>
      <color theme="0"/>
      <name val="TH SarabunPSK"/>
      <family val="2"/>
    </font>
    <font>
      <sz val="17"/>
      <color rgb="FFFF0000"/>
      <name val="TH SarabunPSK"/>
      <family val="2"/>
    </font>
    <font>
      <sz val="13"/>
      <color rgb="FFFF0000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  <font>
      <sz val="8"/>
      <color theme="1"/>
      <name val="TH SarabunPSK"/>
      <family val="2"/>
    </font>
    <font>
      <sz val="8"/>
      <name val="TH SarabunPSK"/>
      <family val="2"/>
    </font>
    <font>
      <b/>
      <sz val="20"/>
      <color theme="1"/>
      <name val="TH SarabunPSK"/>
      <family val="2"/>
    </font>
    <font>
      <b/>
      <i/>
      <sz val="18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00">
    <xf numFmtId="0" fontId="0" fillId="0" borderId="0" xfId="0"/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3" fontId="14" fillId="0" borderId="0" xfId="1" applyFont="1" applyFill="1" applyAlignment="1">
      <alignment horizontal="right" vertical="top"/>
    </xf>
    <xf numFmtId="0" fontId="6" fillId="0" borderId="0" xfId="0" applyFont="1" applyAlignment="1">
      <alignment vertical="center"/>
    </xf>
    <xf numFmtId="43" fontId="6" fillId="8" borderId="1" xfId="1" applyFont="1" applyFill="1" applyBorder="1" applyAlignment="1">
      <alignment horizontal="right" vertical="center"/>
    </xf>
    <xf numFmtId="49" fontId="16" fillId="0" borderId="0" xfId="0" applyNumberFormat="1" applyFont="1" applyFill="1" applyAlignment="1">
      <alignment horizontal="left" vertical="top"/>
    </xf>
    <xf numFmtId="49" fontId="16" fillId="0" borderId="1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left" vertical="top"/>
    </xf>
    <xf numFmtId="49" fontId="16" fillId="0" borderId="1" xfId="0" applyNumberFormat="1" applyFont="1" applyFill="1" applyBorder="1" applyAlignment="1">
      <alignment vertical="top"/>
    </xf>
    <xf numFmtId="49" fontId="16" fillId="0" borderId="1" xfId="0" applyNumberFormat="1" applyFont="1" applyFill="1" applyBorder="1" applyAlignment="1"/>
    <xf numFmtId="49" fontId="18" fillId="0" borderId="1" xfId="0" applyNumberFormat="1" applyFont="1" applyFill="1" applyBorder="1" applyAlignment="1"/>
    <xf numFmtId="49" fontId="16" fillId="0" borderId="1" xfId="0" applyNumberFormat="1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/>
    </xf>
    <xf numFmtId="49" fontId="19" fillId="0" borderId="1" xfId="0" applyNumberFormat="1" applyFont="1" applyFill="1" applyBorder="1" applyAlignment="1">
      <alignment horizontal="left" vertical="top"/>
    </xf>
    <xf numFmtId="49" fontId="19" fillId="0" borderId="1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vertical="top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/>
    </xf>
    <xf numFmtId="49" fontId="16" fillId="0" borderId="0" xfId="1" applyNumberFormat="1" applyFont="1" applyFill="1" applyAlignment="1">
      <alignment horizontal="center" vertical="top"/>
    </xf>
    <xf numFmtId="49" fontId="20" fillId="0" borderId="0" xfId="0" applyNumberFormat="1" applyFont="1" applyFill="1" applyBorder="1" applyAlignment="1">
      <alignment horizontal="left" vertical="top"/>
    </xf>
    <xf numFmtId="0" fontId="18" fillId="0" borderId="0" xfId="0" applyFont="1" applyAlignment="1">
      <alignment horizontal="center" vertical="top"/>
    </xf>
    <xf numFmtId="43" fontId="18" fillId="0" borderId="0" xfId="1" applyFont="1" applyAlignment="1">
      <alignment horizontal="right" vertical="top"/>
    </xf>
    <xf numFmtId="167" fontId="16" fillId="0" borderId="0" xfId="0" applyNumberFormat="1" applyFont="1" applyFill="1" applyAlignment="1">
      <alignment horizontal="center" vertical="top"/>
    </xf>
    <xf numFmtId="167" fontId="16" fillId="0" borderId="0" xfId="0" applyNumberFormat="1" applyFont="1" applyAlignment="1">
      <alignment vertical="top"/>
    </xf>
    <xf numFmtId="43" fontId="16" fillId="0" borderId="0" xfId="1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43" fontId="18" fillId="0" borderId="0" xfId="1" applyFont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7" fontId="17" fillId="5" borderId="1" xfId="0" applyNumberFormat="1" applyFont="1" applyFill="1" applyBorder="1" applyAlignment="1">
      <alignment horizontal="center" vertical="center" wrapText="1"/>
    </xf>
    <xf numFmtId="43" fontId="17" fillId="5" borderId="1" xfId="1" applyFont="1" applyFill="1" applyBorder="1" applyAlignment="1">
      <alignment horizontal="center" vertical="center" wrapText="1"/>
    </xf>
    <xf numFmtId="2" fontId="17" fillId="5" borderId="1" xfId="1" applyNumberFormat="1" applyFont="1" applyFill="1" applyBorder="1" applyAlignment="1">
      <alignment horizontal="center" vertical="center" wrapText="1"/>
    </xf>
    <xf numFmtId="43" fontId="17" fillId="5" borderId="1" xfId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top"/>
    </xf>
    <xf numFmtId="49" fontId="18" fillId="7" borderId="1" xfId="0" applyNumberFormat="1" applyFont="1" applyFill="1" applyBorder="1" applyAlignment="1">
      <alignment horizontal="left" vertical="top"/>
    </xf>
    <xf numFmtId="43" fontId="18" fillId="7" borderId="1" xfId="1" applyFont="1" applyFill="1" applyBorder="1" applyAlignment="1">
      <alignment vertical="top"/>
    </xf>
    <xf numFmtId="167" fontId="18" fillId="7" borderId="1" xfId="0" applyNumberFormat="1" applyFont="1" applyFill="1" applyBorder="1" applyAlignment="1">
      <alignment horizontal="center" vertical="top" wrapText="1"/>
    </xf>
    <xf numFmtId="167" fontId="18" fillId="7" borderId="1" xfId="0" applyNumberFormat="1" applyFont="1" applyFill="1" applyBorder="1" applyAlignment="1">
      <alignment vertical="top"/>
    </xf>
    <xf numFmtId="43" fontId="18" fillId="7" borderId="1" xfId="1" applyFont="1" applyFill="1" applyBorder="1" applyAlignment="1">
      <alignment horizontal="center" vertical="top" wrapText="1"/>
    </xf>
    <xf numFmtId="2" fontId="16" fillId="7" borderId="1" xfId="0" applyNumberFormat="1" applyFont="1" applyFill="1" applyBorder="1" applyAlignment="1">
      <alignment horizontal="center" vertical="top"/>
    </xf>
    <xf numFmtId="0" fontId="17" fillId="7" borderId="1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8" fillId="5" borderId="1" xfId="0" applyFont="1" applyFill="1" applyBorder="1" applyAlignment="1">
      <alignment horizontal="center" vertical="top"/>
    </xf>
    <xf numFmtId="49" fontId="17" fillId="5" borderId="1" xfId="2" applyNumberFormat="1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center" vertical="top" wrapText="1"/>
    </xf>
    <xf numFmtId="43" fontId="17" fillId="5" borderId="1" xfId="1" applyFont="1" applyFill="1" applyBorder="1" applyAlignment="1">
      <alignment horizontal="right" vertical="top"/>
    </xf>
    <xf numFmtId="167" fontId="18" fillId="5" borderId="1" xfId="0" applyNumberFormat="1" applyFont="1" applyFill="1" applyBorder="1" applyAlignment="1">
      <alignment horizontal="center" vertical="top" wrapText="1"/>
    </xf>
    <xf numFmtId="167" fontId="18" fillId="5" borderId="1" xfId="0" applyNumberFormat="1" applyFont="1" applyFill="1" applyBorder="1" applyAlignment="1">
      <alignment vertical="top"/>
    </xf>
    <xf numFmtId="43" fontId="18" fillId="5" borderId="1" xfId="1" applyFont="1" applyFill="1" applyBorder="1" applyAlignment="1">
      <alignment horizontal="center" vertical="top" wrapText="1"/>
    </xf>
    <xf numFmtId="2" fontId="18" fillId="5" borderId="1" xfId="0" applyNumberFormat="1" applyFont="1" applyFill="1" applyBorder="1" applyAlignment="1">
      <alignment horizontal="center" vertical="top"/>
    </xf>
    <xf numFmtId="43" fontId="18" fillId="5" borderId="1" xfId="1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49" fontId="21" fillId="5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43" fontId="17" fillId="0" borderId="1" xfId="1" applyFont="1" applyFill="1" applyBorder="1" applyAlignment="1">
      <alignment horizontal="right" vertical="top"/>
    </xf>
    <xf numFmtId="167" fontId="18" fillId="0" borderId="1" xfId="0" applyNumberFormat="1" applyFont="1" applyFill="1" applyBorder="1" applyAlignment="1">
      <alignment horizontal="center" vertical="top" wrapText="1"/>
    </xf>
    <xf numFmtId="167" fontId="16" fillId="0" borderId="1" xfId="0" applyNumberFormat="1" applyFont="1" applyFill="1" applyBorder="1" applyAlignment="1">
      <alignment vertical="top"/>
    </xf>
    <xf numFmtId="43" fontId="18" fillId="0" borderId="1" xfId="1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center" vertical="top"/>
    </xf>
    <xf numFmtId="43" fontId="18" fillId="0" borderId="1" xfId="1" applyFont="1" applyFill="1" applyBorder="1" applyAlignment="1">
      <alignment vertical="top"/>
    </xf>
    <xf numFmtId="49" fontId="17" fillId="7" borderId="1" xfId="0" applyNumberFormat="1" applyFont="1" applyFill="1" applyBorder="1" applyAlignment="1">
      <alignment horizontal="left" vertical="top" wrapText="1"/>
    </xf>
    <xf numFmtId="43" fontId="17" fillId="7" borderId="1" xfId="1" applyFont="1" applyFill="1" applyBorder="1" applyAlignment="1">
      <alignment horizontal="right" vertical="top"/>
    </xf>
    <xf numFmtId="43" fontId="18" fillId="5" borderId="1" xfId="1" applyFont="1" applyFill="1" applyBorder="1" applyAlignment="1">
      <alignment horizontal="right" vertical="top"/>
    </xf>
    <xf numFmtId="43" fontId="17" fillId="5" borderId="1" xfId="1" applyFont="1" applyFill="1" applyBorder="1" applyAlignment="1">
      <alignment vertical="top"/>
    </xf>
    <xf numFmtId="0" fontId="18" fillId="15" borderId="1" xfId="0" applyFont="1" applyFill="1" applyBorder="1" applyAlignment="1">
      <alignment horizontal="center" vertical="top"/>
    </xf>
    <xf numFmtId="49" fontId="17" fillId="15" borderId="1" xfId="2" applyNumberFormat="1" applyFont="1" applyFill="1" applyBorder="1" applyAlignment="1">
      <alignment vertical="top" wrapText="1"/>
    </xf>
    <xf numFmtId="43" fontId="18" fillId="15" borderId="1" xfId="1" applyFont="1" applyFill="1" applyBorder="1" applyAlignment="1">
      <alignment horizontal="right" vertical="top"/>
    </xf>
    <xf numFmtId="167" fontId="18" fillId="15" borderId="1" xfId="0" applyNumberFormat="1" applyFont="1" applyFill="1" applyBorder="1" applyAlignment="1">
      <alignment vertical="top"/>
    </xf>
    <xf numFmtId="43" fontId="16" fillId="15" borderId="1" xfId="1" applyFont="1" applyFill="1" applyBorder="1" applyAlignment="1">
      <alignment horizontal="center" vertical="top"/>
    </xf>
    <xf numFmtId="2" fontId="16" fillId="15" borderId="1" xfId="0" applyNumberFormat="1" applyFont="1" applyFill="1" applyBorder="1" applyAlignment="1">
      <alignment horizontal="center" vertical="top"/>
    </xf>
    <xf numFmtId="43" fontId="18" fillId="15" borderId="1" xfId="1" applyFont="1" applyFill="1" applyBorder="1" applyAlignment="1">
      <alignment vertical="top"/>
    </xf>
    <xf numFmtId="0" fontId="17" fillId="15" borderId="1" xfId="0" applyFont="1" applyFill="1" applyBorder="1" applyAlignment="1">
      <alignment vertical="top"/>
    </xf>
    <xf numFmtId="0" fontId="18" fillId="2" borderId="1" xfId="0" applyFont="1" applyFill="1" applyBorder="1" applyAlignment="1">
      <alignment horizontal="center" vertical="top"/>
    </xf>
    <xf numFmtId="49" fontId="17" fillId="2" borderId="1" xfId="2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3" fontId="18" fillId="2" borderId="1" xfId="1" applyFont="1" applyFill="1" applyBorder="1" applyAlignment="1">
      <alignment horizontal="right" vertical="top"/>
    </xf>
    <xf numFmtId="167" fontId="18" fillId="2" borderId="1" xfId="0" applyNumberFormat="1" applyFont="1" applyFill="1" applyBorder="1" applyAlignment="1">
      <alignment horizontal="center" vertical="top"/>
    </xf>
    <xf numFmtId="167" fontId="18" fillId="2" borderId="1" xfId="0" applyNumberFormat="1" applyFont="1" applyFill="1" applyBorder="1" applyAlignment="1">
      <alignment vertical="top"/>
    </xf>
    <xf numFmtId="43" fontId="18" fillId="2" borderId="1" xfId="1" applyFont="1" applyFill="1" applyBorder="1" applyAlignment="1">
      <alignment horizontal="center" vertical="top"/>
    </xf>
    <xf numFmtId="2" fontId="18" fillId="2" borderId="1" xfId="0" applyNumberFormat="1" applyFont="1" applyFill="1" applyBorder="1" applyAlignment="1">
      <alignment horizontal="center" vertical="top"/>
    </xf>
    <xf numFmtId="43" fontId="18" fillId="2" borderId="1" xfId="1" applyFont="1" applyFill="1" applyBorder="1" applyAlignment="1">
      <alignment vertical="top"/>
    </xf>
    <xf numFmtId="0" fontId="17" fillId="2" borderId="1" xfId="0" applyFont="1" applyFill="1" applyBorder="1" applyAlignment="1">
      <alignment vertical="top"/>
    </xf>
    <xf numFmtId="0" fontId="17" fillId="7" borderId="1" xfId="0" applyFont="1" applyFill="1" applyBorder="1" applyAlignment="1">
      <alignment horizontal="center" vertical="top" wrapText="1"/>
    </xf>
    <xf numFmtId="167" fontId="16" fillId="7" borderId="1" xfId="0" applyNumberFormat="1" applyFont="1" applyFill="1" applyBorder="1" applyAlignment="1">
      <alignment vertical="top"/>
    </xf>
    <xf numFmtId="167" fontId="16" fillId="5" borderId="1" xfId="0" applyNumberFormat="1" applyFont="1" applyFill="1" applyBorder="1" applyAlignment="1">
      <alignment horizontal="center" vertical="top"/>
    </xf>
    <xf numFmtId="43" fontId="16" fillId="5" borderId="1" xfId="1" applyFont="1" applyFill="1" applyBorder="1" applyAlignment="1">
      <alignment horizontal="center" vertical="top"/>
    </xf>
    <xf numFmtId="0" fontId="18" fillId="2" borderId="0" xfId="0" applyFont="1" applyFill="1" applyAlignment="1">
      <alignment vertical="top"/>
    </xf>
    <xf numFmtId="0" fontId="18" fillId="7" borderId="1" xfId="0" applyFont="1" applyFill="1" applyBorder="1" applyAlignment="1">
      <alignment horizontal="center" vertical="top" wrapText="1"/>
    </xf>
    <xf numFmtId="43" fontId="17" fillId="7" borderId="1" xfId="1" applyFont="1" applyFill="1" applyBorder="1" applyAlignment="1">
      <alignment horizontal="right" vertical="top" wrapText="1"/>
    </xf>
    <xf numFmtId="167" fontId="16" fillId="7" borderId="1" xfId="0" applyNumberFormat="1" applyFont="1" applyFill="1" applyBorder="1" applyAlignment="1">
      <alignment horizontal="center" vertical="top"/>
    </xf>
    <xf numFmtId="43" fontId="16" fillId="7" borderId="1" xfId="1" applyFont="1" applyFill="1" applyBorder="1" applyAlignment="1">
      <alignment horizontal="center" vertical="top"/>
    </xf>
    <xf numFmtId="167" fontId="18" fillId="5" borderId="1" xfId="0" applyNumberFormat="1" applyFont="1" applyFill="1" applyBorder="1" applyAlignment="1">
      <alignment horizontal="center" vertical="top"/>
    </xf>
    <xf numFmtId="49" fontId="18" fillId="7" borderId="1" xfId="0" applyNumberFormat="1" applyFont="1" applyFill="1" applyBorder="1" applyAlignment="1">
      <alignment horizontal="left" vertical="top" wrapText="1"/>
    </xf>
    <xf numFmtId="43" fontId="17" fillId="7" borderId="1" xfId="1" applyFont="1" applyFill="1" applyBorder="1" applyAlignment="1">
      <alignment horizontal="center" vertical="top"/>
    </xf>
    <xf numFmtId="0" fontId="16" fillId="2" borderId="0" xfId="0" applyFont="1" applyFill="1" applyAlignment="1">
      <alignment vertical="top"/>
    </xf>
    <xf numFmtId="49" fontId="17" fillId="7" borderId="1" xfId="2" applyNumberFormat="1" applyFont="1" applyFill="1" applyBorder="1" applyAlignment="1">
      <alignment vertical="top" wrapText="1"/>
    </xf>
    <xf numFmtId="43" fontId="18" fillId="7" borderId="1" xfId="1" applyFont="1" applyFill="1" applyBorder="1" applyAlignment="1">
      <alignment horizontal="right" vertical="top"/>
    </xf>
    <xf numFmtId="43" fontId="16" fillId="7" borderId="1" xfId="0" applyNumberFormat="1" applyFont="1" applyFill="1" applyBorder="1" applyAlignment="1">
      <alignment vertical="top"/>
    </xf>
    <xf numFmtId="43" fontId="18" fillId="7" borderId="1" xfId="0" applyNumberFormat="1" applyFont="1" applyFill="1" applyBorder="1" applyAlignment="1">
      <alignment vertical="top"/>
    </xf>
    <xf numFmtId="0" fontId="18" fillId="5" borderId="1" xfId="0" applyFont="1" applyFill="1" applyBorder="1" applyAlignment="1">
      <alignment horizontal="center"/>
    </xf>
    <xf numFmtId="49" fontId="17" fillId="5" borderId="1" xfId="2" applyNumberFormat="1" applyFont="1" applyFill="1" applyBorder="1" applyAlignment="1">
      <alignment wrapText="1"/>
    </xf>
    <xf numFmtId="0" fontId="18" fillId="5" borderId="1" xfId="0" applyFont="1" applyFill="1" applyBorder="1" applyAlignment="1">
      <alignment horizontal="center" wrapText="1"/>
    </xf>
    <xf numFmtId="43" fontId="18" fillId="5" borderId="1" xfId="1" applyFont="1" applyFill="1" applyBorder="1" applyAlignment="1">
      <alignment horizontal="right"/>
    </xf>
    <xf numFmtId="167" fontId="18" fillId="5" borderId="1" xfId="0" applyNumberFormat="1" applyFont="1" applyFill="1" applyBorder="1" applyAlignment="1">
      <alignment horizontal="center" wrapText="1"/>
    </xf>
    <xf numFmtId="167" fontId="16" fillId="5" borderId="1" xfId="0" applyNumberFormat="1" applyFont="1" applyFill="1" applyBorder="1" applyAlignment="1">
      <alignment horizontal="center"/>
    </xf>
    <xf numFmtId="43" fontId="17" fillId="5" borderId="1" xfId="1" applyFont="1" applyFill="1" applyBorder="1" applyAlignment="1">
      <alignment horizontal="right"/>
    </xf>
    <xf numFmtId="43" fontId="18" fillId="5" borderId="1" xfId="0" applyNumberFormat="1" applyFont="1" applyFill="1" applyBorder="1" applyAlignment="1">
      <alignment horizontal="center" wrapText="1"/>
    </xf>
    <xf numFmtId="0" fontId="16" fillId="2" borderId="0" xfId="0" applyFont="1" applyFill="1" applyAlignment="1"/>
    <xf numFmtId="0" fontId="1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3" fontId="19" fillId="0" borderId="1" xfId="1" applyFont="1" applyFill="1" applyBorder="1" applyAlignment="1">
      <alignment horizontal="right"/>
    </xf>
    <xf numFmtId="167" fontId="16" fillId="0" borderId="1" xfId="0" applyNumberFormat="1" applyFont="1" applyFill="1" applyBorder="1" applyAlignment="1">
      <alignment horizontal="center"/>
    </xf>
    <xf numFmtId="167" fontId="18" fillId="0" borderId="1" xfId="0" applyNumberFormat="1" applyFont="1" applyFill="1" applyBorder="1" applyAlignment="1">
      <alignment horizontal="center"/>
    </xf>
    <xf numFmtId="43" fontId="16" fillId="0" borderId="1" xfId="0" applyNumberFormat="1" applyFont="1" applyFill="1" applyBorder="1" applyAlignment="1"/>
    <xf numFmtId="0" fontId="18" fillId="0" borderId="1" xfId="0" applyFont="1" applyFill="1" applyBorder="1" applyAlignment="1"/>
    <xf numFmtId="0" fontId="18" fillId="2" borderId="0" xfId="0" applyFont="1" applyFill="1" applyAlignment="1"/>
    <xf numFmtId="49" fontId="16" fillId="0" borderId="1" xfId="0" applyNumberFormat="1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vertical="top"/>
    </xf>
    <xf numFmtId="43" fontId="19" fillId="0" borderId="1" xfId="1" applyFont="1" applyFill="1" applyBorder="1" applyAlignment="1">
      <alignment horizontal="right" vertical="top"/>
    </xf>
    <xf numFmtId="167" fontId="16" fillId="0" borderId="1" xfId="0" applyNumberFormat="1" applyFont="1" applyFill="1" applyBorder="1" applyAlignment="1">
      <alignment horizontal="center" vertical="top"/>
    </xf>
    <xf numFmtId="167" fontId="18" fillId="0" borderId="1" xfId="0" applyNumberFormat="1" applyFont="1" applyFill="1" applyBorder="1" applyAlignment="1">
      <alignment horizontal="center" vertical="top"/>
    </xf>
    <xf numFmtId="43" fontId="16" fillId="0" borderId="1" xfId="0" applyNumberFormat="1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2" fontId="16" fillId="5" borderId="1" xfId="0" applyNumberFormat="1" applyFont="1" applyFill="1" applyBorder="1" applyAlignment="1">
      <alignment horizontal="center" vertical="top"/>
    </xf>
    <xf numFmtId="49" fontId="18" fillId="15" borderId="1" xfId="0" applyNumberFormat="1" applyFont="1" applyFill="1" applyBorder="1" applyAlignment="1">
      <alignment horizontal="left" vertical="top" wrapText="1"/>
    </xf>
    <xf numFmtId="0" fontId="18" fillId="15" borderId="1" xfId="0" applyFont="1" applyFill="1" applyBorder="1" applyAlignment="1">
      <alignment horizontal="center" vertical="top" wrapText="1"/>
    </xf>
    <xf numFmtId="167" fontId="16" fillId="15" borderId="1" xfId="0" applyNumberFormat="1" applyFont="1" applyFill="1" applyBorder="1" applyAlignment="1">
      <alignment horizontal="center" vertical="top"/>
    </xf>
    <xf numFmtId="167" fontId="16" fillId="2" borderId="1" xfId="0" applyNumberFormat="1" applyFont="1" applyFill="1" applyBorder="1" applyAlignment="1">
      <alignment horizontal="center" vertical="top"/>
    </xf>
    <xf numFmtId="43" fontId="16" fillId="2" borderId="1" xfId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/>
    </xf>
    <xf numFmtId="43" fontId="19" fillId="2" borderId="1" xfId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>
      <alignment horizontal="center" vertical="top"/>
    </xf>
    <xf numFmtId="43" fontId="17" fillId="2" borderId="1" xfId="1" applyFont="1" applyFill="1" applyBorder="1" applyAlignment="1">
      <alignment vertical="top"/>
    </xf>
    <xf numFmtId="167" fontId="18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vertical="top"/>
    </xf>
    <xf numFmtId="43" fontId="16" fillId="0" borderId="1" xfId="1" applyFont="1" applyFill="1" applyBorder="1" applyAlignment="1">
      <alignment horizontal="center" vertical="top"/>
    </xf>
    <xf numFmtId="167" fontId="17" fillId="0" borderId="1" xfId="1" applyNumberFormat="1" applyFont="1" applyFill="1" applyBorder="1" applyAlignment="1">
      <alignment horizontal="right" vertical="top"/>
    </xf>
    <xf numFmtId="2" fontId="19" fillId="0" borderId="1" xfId="1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43" fontId="19" fillId="5" borderId="1" xfId="1" applyFont="1" applyFill="1" applyBorder="1" applyAlignment="1">
      <alignment horizontal="center" vertical="top"/>
    </xf>
    <xf numFmtId="2" fontId="19" fillId="5" borderId="1" xfId="0" applyNumberFormat="1" applyFont="1" applyFill="1" applyBorder="1" applyAlignment="1">
      <alignment horizontal="center" vertical="top"/>
    </xf>
    <xf numFmtId="167" fontId="17" fillId="7" borderId="1" xfId="1" applyNumberFormat="1" applyFont="1" applyFill="1" applyBorder="1" applyAlignment="1">
      <alignment horizontal="right" vertical="top"/>
    </xf>
    <xf numFmtId="2" fontId="19" fillId="7" borderId="1" xfId="1" applyNumberFormat="1" applyFont="1" applyFill="1" applyBorder="1" applyAlignment="1">
      <alignment horizontal="center" vertical="top"/>
    </xf>
    <xf numFmtId="43" fontId="22" fillId="5" borderId="1" xfId="1" applyFont="1" applyFill="1" applyBorder="1" applyAlignment="1">
      <alignment horizontal="center" vertical="top"/>
    </xf>
    <xf numFmtId="49" fontId="19" fillId="0" borderId="1" xfId="2" applyNumberFormat="1" applyFont="1" applyFill="1" applyBorder="1" applyAlignment="1">
      <alignment vertical="top" wrapText="1"/>
    </xf>
    <xf numFmtId="43" fontId="18" fillId="0" borderId="1" xfId="1" applyFont="1" applyFill="1" applyBorder="1" applyAlignment="1">
      <alignment horizontal="right" vertical="top"/>
    </xf>
    <xf numFmtId="0" fontId="17" fillId="15" borderId="1" xfId="0" applyFont="1" applyFill="1" applyBorder="1" applyAlignment="1">
      <alignment horizontal="center" vertical="top" wrapText="1"/>
    </xf>
    <xf numFmtId="43" fontId="17" fillId="15" borderId="1" xfId="1" applyFont="1" applyFill="1" applyBorder="1" applyAlignment="1">
      <alignment horizontal="center" vertical="top"/>
    </xf>
    <xf numFmtId="167" fontId="18" fillId="15" borderId="1" xfId="0" applyNumberFormat="1" applyFont="1" applyFill="1" applyBorder="1" applyAlignment="1">
      <alignment horizontal="center" vertical="top" wrapText="1"/>
    </xf>
    <xf numFmtId="167" fontId="16" fillId="15" borderId="1" xfId="0" applyNumberFormat="1" applyFont="1" applyFill="1" applyBorder="1" applyAlignment="1">
      <alignment vertical="top"/>
    </xf>
    <xf numFmtId="43" fontId="18" fillId="15" borderId="1" xfId="1" applyFont="1" applyFill="1" applyBorder="1" applyAlignment="1">
      <alignment horizontal="center" vertical="top" wrapText="1"/>
    </xf>
    <xf numFmtId="49" fontId="21" fillId="2" borderId="1" xfId="2" applyNumberFormat="1" applyFont="1" applyFill="1" applyBorder="1" applyAlignment="1">
      <alignment vertical="top" wrapText="1"/>
    </xf>
    <xf numFmtId="49" fontId="17" fillId="0" borderId="1" xfId="2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1" fontId="18" fillId="7" borderId="1" xfId="0" applyNumberFormat="1" applyFont="1" applyFill="1" applyBorder="1" applyAlignment="1">
      <alignment horizontal="center" vertical="top"/>
    </xf>
    <xf numFmtId="43" fontId="16" fillId="5" borderId="1" xfId="0" applyNumberFormat="1" applyFont="1" applyFill="1" applyBorder="1" applyAlignment="1"/>
    <xf numFmtId="43" fontId="18" fillId="5" borderId="1" xfId="0" applyNumberFormat="1" applyFont="1" applyFill="1" applyBorder="1" applyAlignment="1"/>
    <xf numFmtId="49" fontId="21" fillId="5" borderId="1" xfId="2" applyNumberFormat="1" applyFont="1" applyFill="1" applyBorder="1" applyAlignment="1">
      <alignment wrapText="1"/>
    </xf>
    <xf numFmtId="167" fontId="23" fillId="5" borderId="1" xfId="0" applyNumberFormat="1" applyFont="1" applyFill="1" applyBorder="1" applyAlignment="1">
      <alignment horizontal="center" wrapText="1"/>
    </xf>
    <xf numFmtId="167" fontId="23" fillId="5" borderId="1" xfId="0" applyNumberFormat="1" applyFont="1" applyFill="1" applyBorder="1" applyAlignment="1">
      <alignment horizontal="center"/>
    </xf>
    <xf numFmtId="43" fontId="23" fillId="5" borderId="1" xfId="1" applyFont="1" applyFill="1" applyBorder="1" applyAlignment="1">
      <alignment horizontal="center" wrapText="1"/>
    </xf>
    <xf numFmtId="0" fontId="16" fillId="0" borderId="0" xfId="0" applyFont="1" applyAlignment="1"/>
    <xf numFmtId="43" fontId="19" fillId="0" borderId="1" xfId="1" applyFont="1" applyFill="1" applyBorder="1" applyAlignment="1">
      <alignment vertical="top"/>
    </xf>
    <xf numFmtId="49" fontId="18" fillId="7" borderId="1" xfId="0" applyNumberFormat="1" applyFont="1" applyFill="1" applyBorder="1" applyAlignment="1">
      <alignment vertical="top"/>
    </xf>
    <xf numFmtId="0" fontId="17" fillId="5" borderId="1" xfId="0" applyFont="1" applyFill="1" applyBorder="1" applyAlignment="1">
      <alignment horizontal="center" vertical="top"/>
    </xf>
    <xf numFmtId="0" fontId="17" fillId="5" borderId="1" xfId="0" applyFont="1" applyFill="1" applyBorder="1" applyAlignment="1">
      <alignment horizontal="center" vertical="top" wrapText="1"/>
    </xf>
    <xf numFmtId="167" fontId="19" fillId="5" borderId="1" xfId="0" applyNumberFormat="1" applyFont="1" applyFill="1" applyBorder="1" applyAlignment="1">
      <alignment horizontal="center" vertical="top"/>
    </xf>
    <xf numFmtId="167" fontId="17" fillId="5" borderId="1" xfId="0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7" fillId="0" borderId="1" xfId="0" applyFont="1" applyFill="1" applyBorder="1" applyAlignment="1">
      <alignment horizontal="center" vertical="top"/>
    </xf>
    <xf numFmtId="43" fontId="17" fillId="0" borderId="1" xfId="1" applyFont="1" applyFill="1" applyBorder="1" applyAlignment="1">
      <alignment horizontal="center" vertical="top"/>
    </xf>
    <xf numFmtId="167" fontId="19" fillId="0" borderId="1" xfId="0" applyNumberFormat="1" applyFont="1" applyFill="1" applyBorder="1" applyAlignment="1">
      <alignment horizontal="center" vertical="top"/>
    </xf>
    <xf numFmtId="167" fontId="17" fillId="0" borderId="1" xfId="0" applyNumberFormat="1" applyFont="1" applyFill="1" applyBorder="1" applyAlignment="1">
      <alignment vertical="top"/>
    </xf>
    <xf numFmtId="43" fontId="19" fillId="0" borderId="1" xfId="1" applyFont="1" applyFill="1" applyBorder="1" applyAlignment="1">
      <alignment horizontal="center" vertical="top"/>
    </xf>
    <xf numFmtId="2" fontId="19" fillId="0" borderId="1" xfId="0" applyNumberFormat="1" applyFont="1" applyFill="1" applyBorder="1" applyAlignment="1">
      <alignment horizontal="center" vertical="top"/>
    </xf>
    <xf numFmtId="43" fontId="17" fillId="0" borderId="1" xfId="1" applyFont="1" applyFill="1" applyBorder="1" applyAlignment="1">
      <alignment vertical="top"/>
    </xf>
    <xf numFmtId="43" fontId="16" fillId="7" borderId="1" xfId="1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wrapText="1"/>
    </xf>
    <xf numFmtId="43" fontId="17" fillId="0" borderId="1" xfId="1" applyFont="1" applyFill="1" applyBorder="1" applyAlignment="1">
      <alignment horizontal="right"/>
    </xf>
    <xf numFmtId="167" fontId="18" fillId="0" borderId="1" xfId="0" applyNumberFormat="1" applyFont="1" applyFill="1" applyBorder="1" applyAlignment="1"/>
    <xf numFmtId="43" fontId="16" fillId="0" borderId="1" xfId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43" fontId="18" fillId="0" borderId="1" xfId="1" applyFont="1" applyFill="1" applyBorder="1" applyAlignment="1"/>
    <xf numFmtId="0" fontId="17" fillId="0" borderId="1" xfId="0" applyFont="1" applyFill="1" applyBorder="1" applyAlignment="1"/>
    <xf numFmtId="0" fontId="18" fillId="0" borderId="0" xfId="0" applyFont="1" applyFill="1" applyAlignment="1"/>
    <xf numFmtId="0" fontId="16" fillId="5" borderId="1" xfId="0" applyFont="1" applyFill="1" applyBorder="1" applyAlignment="1">
      <alignment horizontal="center" vertical="top" wrapText="1"/>
    </xf>
    <xf numFmtId="43" fontId="18" fillId="0" borderId="1" xfId="1" applyFont="1" applyFill="1" applyBorder="1" applyAlignment="1">
      <alignment horizontal="right"/>
    </xf>
    <xf numFmtId="43" fontId="19" fillId="0" borderId="1" xfId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43" fontId="17" fillId="0" borderId="1" xfId="1" applyFont="1" applyFill="1" applyBorder="1" applyAlignment="1"/>
    <xf numFmtId="1" fontId="18" fillId="15" borderId="1" xfId="0" applyNumberFormat="1" applyFont="1" applyFill="1" applyBorder="1" applyAlignment="1">
      <alignment horizontal="center" vertical="top"/>
    </xf>
    <xf numFmtId="49" fontId="18" fillId="15" borderId="1" xfId="0" applyNumberFormat="1" applyFont="1" applyFill="1" applyBorder="1" applyAlignment="1">
      <alignment horizontal="left" vertical="top"/>
    </xf>
    <xf numFmtId="43" fontId="19" fillId="7" borderId="1" xfId="1" applyFont="1" applyFill="1" applyBorder="1" applyAlignment="1">
      <alignment horizontal="center" vertical="top"/>
    </xf>
    <xf numFmtId="2" fontId="19" fillId="7" borderId="1" xfId="0" applyNumberFormat="1" applyFont="1" applyFill="1" applyBorder="1" applyAlignment="1">
      <alignment horizontal="center" vertical="top"/>
    </xf>
    <xf numFmtId="43" fontId="17" fillId="7" borderId="1" xfId="1" applyFont="1" applyFill="1" applyBorder="1" applyAlignment="1">
      <alignment vertical="top"/>
    </xf>
    <xf numFmtId="49" fontId="19" fillId="0" borderId="1" xfId="2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167" fontId="18" fillId="7" borderId="1" xfId="0" applyNumberFormat="1" applyFont="1" applyFill="1" applyBorder="1" applyAlignment="1">
      <alignment horizontal="center" vertical="top"/>
    </xf>
    <xf numFmtId="167" fontId="23" fillId="5" borderId="1" xfId="0" applyNumberFormat="1" applyFont="1" applyFill="1" applyBorder="1" applyAlignment="1">
      <alignment horizontal="center" vertical="top" wrapText="1"/>
    </xf>
    <xf numFmtId="167" fontId="23" fillId="5" borderId="1" xfId="0" applyNumberFormat="1" applyFont="1" applyFill="1" applyBorder="1" applyAlignment="1">
      <alignment horizontal="center" vertical="top"/>
    </xf>
    <xf numFmtId="43" fontId="23" fillId="5" borderId="1" xfId="1" applyFont="1" applyFill="1" applyBorder="1" applyAlignment="1">
      <alignment horizontal="center" vertical="top" wrapText="1"/>
    </xf>
    <xf numFmtId="43" fontId="16" fillId="5" borderId="1" xfId="0" applyNumberFormat="1" applyFont="1" applyFill="1" applyBorder="1" applyAlignment="1">
      <alignment vertical="top"/>
    </xf>
    <xf numFmtId="43" fontId="20" fillId="0" borderId="1" xfId="1" applyFont="1" applyFill="1" applyBorder="1" applyAlignment="1">
      <alignment horizontal="right" vertical="top"/>
    </xf>
    <xf numFmtId="49" fontId="21" fillId="5" borderId="1" xfId="2" applyNumberFormat="1" applyFont="1" applyFill="1" applyBorder="1" applyAlignment="1">
      <alignment horizontal="left" wrapText="1"/>
    </xf>
    <xf numFmtId="43" fontId="18" fillId="5" borderId="1" xfId="1" applyFont="1" applyFill="1" applyBorder="1" applyAlignment="1">
      <alignment horizontal="center"/>
    </xf>
    <xf numFmtId="14" fontId="24" fillId="5" borderId="1" xfId="1" applyNumberFormat="1" applyFont="1" applyFill="1" applyBorder="1" applyAlignment="1">
      <alignment horizontal="center"/>
    </xf>
    <xf numFmtId="14" fontId="23" fillId="5" borderId="1" xfId="0" applyNumberFormat="1" applyFont="1" applyFill="1" applyBorder="1" applyAlignment="1">
      <alignment horizontal="center" wrapText="1"/>
    </xf>
    <xf numFmtId="43" fontId="24" fillId="5" borderId="1" xfId="1" applyFont="1" applyFill="1" applyBorder="1" applyAlignment="1">
      <alignment horizontal="center"/>
    </xf>
    <xf numFmtId="43" fontId="16" fillId="5" borderId="1" xfId="0" applyNumberFormat="1" applyFont="1" applyFill="1" applyBorder="1" applyAlignment="1">
      <alignment horizontal="center"/>
    </xf>
    <xf numFmtId="43" fontId="18" fillId="5" borderId="1" xfId="0" applyNumberFormat="1" applyFont="1" applyFill="1" applyBorder="1" applyAlignment="1">
      <alignment horizontal="center"/>
    </xf>
    <xf numFmtId="43" fontId="17" fillId="5" borderId="1" xfId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horizontal="right" vertical="center"/>
    </xf>
    <xf numFmtId="167" fontId="16" fillId="0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top"/>
    </xf>
    <xf numFmtId="49" fontId="17" fillId="3" borderId="1" xfId="2" applyNumberFormat="1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vertical="top" wrapText="1"/>
    </xf>
    <xf numFmtId="43" fontId="18" fillId="3" borderId="1" xfId="1" applyFont="1" applyFill="1" applyBorder="1" applyAlignment="1">
      <alignment horizontal="right" vertical="top"/>
    </xf>
    <xf numFmtId="167" fontId="18" fillId="3" borderId="1" xfId="0" applyNumberFormat="1" applyFont="1" applyFill="1" applyBorder="1" applyAlignment="1">
      <alignment horizontal="center" vertical="top" wrapText="1"/>
    </xf>
    <xf numFmtId="167" fontId="16" fillId="3" borderId="1" xfId="0" applyNumberFormat="1" applyFont="1" applyFill="1" applyBorder="1" applyAlignment="1">
      <alignment horizontal="center" vertical="top"/>
    </xf>
    <xf numFmtId="0" fontId="16" fillId="3" borderId="1" xfId="0" applyNumberFormat="1" applyFont="1" applyFill="1" applyBorder="1" applyAlignment="1">
      <alignment vertical="top"/>
    </xf>
    <xf numFmtId="43" fontId="18" fillId="3" borderId="1" xfId="0" applyNumberFormat="1" applyFont="1" applyFill="1" applyBorder="1" applyAlignment="1">
      <alignment vertical="top"/>
    </xf>
    <xf numFmtId="0" fontId="18" fillId="6" borderId="1" xfId="0" applyFont="1" applyFill="1" applyBorder="1" applyAlignment="1">
      <alignment horizontal="center"/>
    </xf>
    <xf numFmtId="49" fontId="21" fillId="6" borderId="1" xfId="2" applyNumberFormat="1" applyFont="1" applyFill="1" applyBorder="1" applyAlignment="1">
      <alignment wrapText="1"/>
    </xf>
    <xf numFmtId="0" fontId="18" fillId="6" borderId="1" xfId="0" applyFont="1" applyFill="1" applyBorder="1" applyAlignment="1">
      <alignment horizontal="center" wrapText="1"/>
    </xf>
    <xf numFmtId="43" fontId="18" fillId="6" borderId="1" xfId="1" applyFont="1" applyFill="1" applyBorder="1" applyAlignment="1">
      <alignment horizontal="right"/>
    </xf>
    <xf numFmtId="167" fontId="18" fillId="6" borderId="1" xfId="0" applyNumberFormat="1" applyFont="1" applyFill="1" applyBorder="1" applyAlignment="1">
      <alignment horizontal="center" wrapText="1"/>
    </xf>
    <xf numFmtId="167" fontId="16" fillId="6" borderId="1" xfId="0" applyNumberFormat="1" applyFont="1" applyFill="1" applyBorder="1" applyAlignment="1">
      <alignment horizontal="center"/>
    </xf>
    <xf numFmtId="43" fontId="17" fillId="6" borderId="1" xfId="1" applyFont="1" applyFill="1" applyBorder="1" applyAlignment="1">
      <alignment horizontal="right"/>
    </xf>
    <xf numFmtId="43" fontId="18" fillId="6" borderId="1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top"/>
    </xf>
    <xf numFmtId="49" fontId="17" fillId="0" borderId="1" xfId="2" applyNumberFormat="1" applyFont="1" applyFill="1" applyBorder="1" applyAlignment="1">
      <alignment wrapText="1"/>
    </xf>
    <xf numFmtId="166" fontId="19" fillId="0" borderId="1" xfId="1" applyNumberFormat="1" applyFont="1" applyFill="1" applyBorder="1" applyAlignment="1">
      <alignment horizontal="center"/>
    </xf>
    <xf numFmtId="167" fontId="16" fillId="0" borderId="1" xfId="0" applyNumberFormat="1" applyFont="1" applyFill="1" applyBorder="1" applyAlignment="1">
      <alignment horizontal="center" wrapText="1"/>
    </xf>
    <xf numFmtId="43" fontId="16" fillId="0" borderId="1" xfId="1" applyFont="1" applyFill="1" applyBorder="1" applyAlignment="1">
      <alignment horizontal="center" wrapText="1"/>
    </xf>
    <xf numFmtId="43" fontId="18" fillId="0" borderId="1" xfId="0" applyNumberFormat="1" applyFont="1" applyFill="1" applyBorder="1" applyAlignment="1"/>
    <xf numFmtId="166" fontId="19" fillId="0" borderId="1" xfId="1" applyNumberFormat="1" applyFont="1" applyFill="1" applyBorder="1" applyAlignment="1"/>
    <xf numFmtId="43" fontId="18" fillId="0" borderId="1" xfId="0" applyNumberFormat="1" applyFont="1" applyFill="1" applyBorder="1" applyAlignment="1">
      <alignment vertical="top"/>
    </xf>
    <xf numFmtId="1" fontId="18" fillId="3" borderId="1" xfId="0" applyNumberFormat="1" applyFont="1" applyFill="1" applyBorder="1" applyAlignment="1">
      <alignment horizontal="center" vertical="top"/>
    </xf>
    <xf numFmtId="167" fontId="16" fillId="0" borderId="1" xfId="0" applyNumberFormat="1" applyFont="1" applyFill="1" applyBorder="1" applyAlignment="1">
      <alignment horizontal="center" vertical="top" wrapText="1"/>
    </xf>
    <xf numFmtId="43" fontId="18" fillId="5" borderId="1" xfId="0" applyNumberFormat="1" applyFont="1" applyFill="1" applyBorder="1" applyAlignment="1">
      <alignment horizontal="center" vertical="top" wrapText="1"/>
    </xf>
    <xf numFmtId="43" fontId="18" fillId="7" borderId="1" xfId="1" applyFont="1" applyFill="1" applyBorder="1" applyAlignment="1">
      <alignment horizontal="center" vertical="top"/>
    </xf>
    <xf numFmtId="0" fontId="17" fillId="7" borderId="1" xfId="0" applyFont="1" applyFill="1" applyBorder="1" applyAlignment="1">
      <alignment horizontal="center" vertical="top"/>
    </xf>
    <xf numFmtId="167" fontId="19" fillId="7" borderId="1" xfId="0" applyNumberFormat="1" applyFont="1" applyFill="1" applyBorder="1" applyAlignment="1">
      <alignment horizontal="center" vertical="top"/>
    </xf>
    <xf numFmtId="167" fontId="17" fillId="7" borderId="1" xfId="0" applyNumberFormat="1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16" fillId="0" borderId="1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vertical="center"/>
    </xf>
    <xf numFmtId="43" fontId="16" fillId="0" borderId="1" xfId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67" fontId="16" fillId="5" borderId="1" xfId="0" applyNumberFormat="1" applyFont="1" applyFill="1" applyBorder="1" applyAlignment="1">
      <alignment vertical="top"/>
    </xf>
    <xf numFmtId="167" fontId="16" fillId="5" borderId="1" xfId="0" applyNumberFormat="1" applyFont="1" applyFill="1" applyBorder="1" applyAlignment="1">
      <alignment horizontal="center" vertical="center"/>
    </xf>
    <xf numFmtId="167" fontId="17" fillId="5" borderId="1" xfId="0" applyNumberFormat="1" applyFont="1" applyFill="1" applyBorder="1" applyAlignment="1">
      <alignment horizontal="center" vertical="top"/>
    </xf>
    <xf numFmtId="43" fontId="17" fillId="5" borderId="1" xfId="1" applyFont="1" applyFill="1" applyBorder="1" applyAlignment="1">
      <alignment horizontal="center" vertical="top"/>
    </xf>
    <xf numFmtId="2" fontId="17" fillId="5" borderId="1" xfId="0" applyNumberFormat="1" applyFont="1" applyFill="1" applyBorder="1" applyAlignment="1">
      <alignment horizontal="center" vertical="top"/>
    </xf>
    <xf numFmtId="1" fontId="17" fillId="7" borderId="1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49" fontId="18" fillId="7" borderId="1" xfId="0" applyNumberFormat="1" applyFont="1" applyFill="1" applyBorder="1" applyAlignment="1">
      <alignment vertical="top" wrapText="1"/>
    </xf>
    <xf numFmtId="0" fontId="18" fillId="4" borderId="0" xfId="0" applyFont="1" applyFill="1" applyAlignment="1">
      <alignment vertical="top"/>
    </xf>
    <xf numFmtId="168" fontId="18" fillId="8" borderId="1" xfId="0" applyNumberFormat="1" applyFont="1" applyFill="1" applyBorder="1" applyAlignment="1">
      <alignment vertical="center"/>
    </xf>
    <xf numFmtId="43" fontId="18" fillId="7" borderId="1" xfId="1" applyFont="1" applyFill="1" applyBorder="1" applyAlignment="1">
      <alignment horizontal="center" vertical="center"/>
    </xf>
    <xf numFmtId="2" fontId="16" fillId="7" borderId="1" xfId="0" applyNumberFormat="1" applyFont="1" applyFill="1" applyBorder="1" applyAlignment="1">
      <alignment horizontal="center" vertical="center"/>
    </xf>
    <xf numFmtId="43" fontId="17" fillId="7" borderId="1" xfId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43" fontId="18" fillId="0" borderId="0" xfId="1" applyFont="1" applyFill="1" applyBorder="1" applyAlignment="1">
      <alignment horizontal="right"/>
    </xf>
    <xf numFmtId="0" fontId="18" fillId="0" borderId="0" xfId="0" applyFont="1" applyAlignment="1"/>
    <xf numFmtId="0" fontId="22" fillId="0" borderId="0" xfId="0" applyFont="1" applyBorder="1" applyAlignment="1">
      <alignment horizontal="center" vertical="top"/>
    </xf>
    <xf numFmtId="43" fontId="23" fillId="0" borderId="1" xfId="1" applyFont="1" applyBorder="1" applyAlignment="1">
      <alignment horizontal="right" vertical="top"/>
    </xf>
    <xf numFmtId="0" fontId="22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43" fontId="16" fillId="16" borderId="1" xfId="1" applyFont="1" applyFill="1" applyBorder="1" applyAlignment="1">
      <alignment horizontal="right" vertical="top"/>
    </xf>
    <xf numFmtId="0" fontId="22" fillId="0" borderId="1" xfId="0" applyFont="1" applyBorder="1" applyAlignment="1">
      <alignment horizontal="center" vertical="top"/>
    </xf>
    <xf numFmtId="43" fontId="22" fillId="0" borderId="1" xfId="0" applyNumberFormat="1" applyFont="1" applyBorder="1" applyAlignment="1">
      <alignment vertical="top"/>
    </xf>
    <xf numFmtId="49" fontId="20" fillId="0" borderId="0" xfId="0" applyNumberFormat="1" applyFont="1" applyBorder="1" applyAlignment="1">
      <alignment vertical="top"/>
    </xf>
    <xf numFmtId="43" fontId="22" fillId="0" borderId="0" xfId="1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43" fontId="18" fillId="0" borderId="0" xfId="0" applyNumberFormat="1" applyFont="1" applyAlignment="1">
      <alignment vertical="top"/>
    </xf>
    <xf numFmtId="0" fontId="16" fillId="0" borderId="0" xfId="0" applyFont="1" applyAlignment="1">
      <alignment horizontal="right" vertical="top"/>
    </xf>
    <xf numFmtId="49" fontId="16" fillId="0" borderId="0" xfId="0" applyNumberFormat="1" applyFont="1" applyAlignment="1">
      <alignment horizontal="center" vertical="top"/>
    </xf>
    <xf numFmtId="43" fontId="22" fillId="0" borderId="0" xfId="1" applyFont="1" applyFill="1" applyAlignment="1">
      <alignment horizontal="right"/>
    </xf>
    <xf numFmtId="43" fontId="22" fillId="0" borderId="0" xfId="1" applyFont="1" applyFill="1" applyAlignment="1">
      <alignment horizontal="right" vertical="top"/>
    </xf>
    <xf numFmtId="49" fontId="16" fillId="0" borderId="9" xfId="0" applyNumberFormat="1" applyFont="1" applyBorder="1" applyAlignment="1">
      <alignment horizontal="center" vertical="top"/>
    </xf>
    <xf numFmtId="43" fontId="18" fillId="0" borderId="10" xfId="1" applyFont="1" applyBorder="1" applyAlignment="1">
      <alignment horizontal="right" vertical="top"/>
    </xf>
    <xf numFmtId="49" fontId="16" fillId="0" borderId="14" xfId="0" applyNumberFormat="1" applyFont="1" applyBorder="1" applyAlignment="1">
      <alignment horizontal="center" vertical="top"/>
    </xf>
    <xf numFmtId="43" fontId="18" fillId="0" borderId="13" xfId="1" applyFont="1" applyBorder="1" applyAlignment="1">
      <alignment horizontal="right" vertical="top"/>
    </xf>
    <xf numFmtId="49" fontId="16" fillId="0" borderId="11" xfId="0" applyNumberFormat="1" applyFont="1" applyBorder="1" applyAlignment="1">
      <alignment vertical="top"/>
    </xf>
    <xf numFmtId="43" fontId="18" fillId="0" borderId="12" xfId="1" applyFont="1" applyBorder="1" applyAlignment="1">
      <alignment horizontal="right" vertical="top"/>
    </xf>
    <xf numFmtId="0" fontId="16" fillId="0" borderId="0" xfId="0" applyFont="1" applyAlignment="1">
      <alignment horizontal="center" vertical="top" wrapText="1"/>
    </xf>
    <xf numFmtId="49" fontId="18" fillId="7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16" fillId="16" borderId="1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170" fontId="16" fillId="0" borderId="0" xfId="1" applyNumberFormat="1" applyFont="1" applyAlignment="1">
      <alignment horizontal="center" vertical="top" wrapText="1"/>
    </xf>
    <xf numFmtId="170" fontId="20" fillId="0" borderId="0" xfId="1" applyNumberFormat="1" applyFont="1" applyFill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170" fontId="16" fillId="0" borderId="0" xfId="1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169" fontId="11" fillId="0" borderId="0" xfId="0" applyNumberFormat="1" applyFont="1" applyAlignment="1">
      <alignment horizontal="center" vertical="top"/>
    </xf>
    <xf numFmtId="169" fontId="28" fillId="7" borderId="1" xfId="0" applyNumberFormat="1" applyFont="1" applyFill="1" applyBorder="1" applyAlignment="1">
      <alignment horizontal="center" vertical="top" wrapText="1"/>
    </xf>
    <xf numFmtId="169" fontId="11" fillId="5" borderId="1" xfId="0" applyNumberFormat="1" applyFont="1" applyFill="1" applyBorder="1" applyAlignment="1">
      <alignment horizontal="center" vertical="top" wrapText="1"/>
    </xf>
    <xf numFmtId="169" fontId="28" fillId="0" borderId="1" xfId="0" applyNumberFormat="1" applyFont="1" applyFill="1" applyBorder="1" applyAlignment="1">
      <alignment horizontal="center" vertical="top" wrapText="1"/>
    </xf>
    <xf numFmtId="167" fontId="28" fillId="15" borderId="1" xfId="0" applyNumberFormat="1" applyFont="1" applyFill="1" applyBorder="1" applyAlignment="1">
      <alignment horizontal="center" vertical="top" wrapText="1"/>
    </xf>
    <xf numFmtId="169" fontId="11" fillId="2" borderId="1" xfId="0" applyNumberFormat="1" applyFont="1" applyFill="1" applyBorder="1" applyAlignment="1">
      <alignment horizontal="center" vertical="top" wrapText="1"/>
    </xf>
    <xf numFmtId="169" fontId="11" fillId="5" borderId="1" xfId="0" applyNumberFormat="1" applyFont="1" applyFill="1" applyBorder="1" applyAlignment="1">
      <alignment horizontal="center" vertical="top"/>
    </xf>
    <xf numFmtId="169" fontId="11" fillId="5" borderId="1" xfId="0" applyNumberFormat="1" applyFont="1" applyFill="1" applyBorder="1" applyAlignment="1">
      <alignment horizontal="center" wrapText="1"/>
    </xf>
    <xf numFmtId="169" fontId="28" fillId="0" borderId="1" xfId="0" applyNumberFormat="1" applyFont="1" applyFill="1" applyBorder="1" applyAlignment="1">
      <alignment horizontal="center"/>
    </xf>
    <xf numFmtId="169" fontId="28" fillId="0" borderId="1" xfId="0" applyNumberFormat="1" applyFont="1" applyFill="1" applyBorder="1" applyAlignment="1">
      <alignment horizontal="center" vertical="top"/>
    </xf>
    <xf numFmtId="169" fontId="28" fillId="5" borderId="1" xfId="0" applyNumberFormat="1" applyFont="1" applyFill="1" applyBorder="1" applyAlignment="1">
      <alignment horizontal="center" vertical="top" wrapText="1"/>
    </xf>
    <xf numFmtId="169" fontId="28" fillId="15" borderId="1" xfId="0" applyNumberFormat="1" applyFont="1" applyFill="1" applyBorder="1" applyAlignment="1">
      <alignment horizontal="center" vertical="top" wrapText="1"/>
    </xf>
    <xf numFmtId="169" fontId="28" fillId="2" borderId="1" xfId="0" applyNumberFormat="1" applyFont="1" applyFill="1" applyBorder="1" applyAlignment="1">
      <alignment horizontal="center" vertical="top" wrapText="1"/>
    </xf>
    <xf numFmtId="169" fontId="11" fillId="2" borderId="1" xfId="0" applyNumberFormat="1" applyFont="1" applyFill="1" applyBorder="1" applyAlignment="1">
      <alignment horizontal="center" vertical="top"/>
    </xf>
    <xf numFmtId="169" fontId="29" fillId="5" borderId="1" xfId="0" applyNumberFormat="1" applyFont="1" applyFill="1" applyBorder="1" applyAlignment="1">
      <alignment horizontal="center" vertical="top"/>
    </xf>
    <xf numFmtId="169" fontId="29" fillId="0" borderId="1" xfId="0" applyNumberFormat="1" applyFont="1" applyFill="1" applyBorder="1" applyAlignment="1">
      <alignment horizontal="center" vertical="top"/>
    </xf>
    <xf numFmtId="169" fontId="28" fillId="0" borderId="1" xfId="0" applyNumberFormat="1" applyFont="1" applyFill="1" applyBorder="1" applyAlignment="1">
      <alignment horizontal="center" wrapText="1"/>
    </xf>
    <xf numFmtId="169" fontId="11" fillId="0" borderId="1" xfId="0" applyNumberFormat="1" applyFont="1" applyFill="1" applyBorder="1" applyAlignment="1">
      <alignment horizontal="center" vertical="top" wrapText="1"/>
    </xf>
    <xf numFmtId="169" fontId="28" fillId="0" borderId="1" xfId="0" applyNumberFormat="1" applyFont="1" applyFill="1" applyBorder="1" applyAlignment="1">
      <alignment horizontal="center" vertical="center"/>
    </xf>
    <xf numFmtId="169" fontId="28" fillId="3" borderId="1" xfId="0" applyNumberFormat="1" applyFont="1" applyFill="1" applyBorder="1" applyAlignment="1">
      <alignment horizontal="center" vertical="top" wrapText="1"/>
    </xf>
    <xf numFmtId="169" fontId="11" fillId="6" borderId="1" xfId="0" applyNumberFormat="1" applyFont="1" applyFill="1" applyBorder="1" applyAlignment="1">
      <alignment horizontal="center" wrapText="1"/>
    </xf>
    <xf numFmtId="169" fontId="11" fillId="0" borderId="1" xfId="0" applyNumberFormat="1" applyFont="1" applyFill="1" applyBorder="1" applyAlignment="1">
      <alignment horizontal="center" wrapText="1"/>
    </xf>
    <xf numFmtId="169" fontId="28" fillId="5" borderId="1" xfId="0" applyNumberFormat="1" applyFont="1" applyFill="1" applyBorder="1" applyAlignment="1">
      <alignment horizontal="center" vertical="top"/>
    </xf>
    <xf numFmtId="169" fontId="29" fillId="7" borderId="1" xfId="0" applyNumberFormat="1" applyFont="1" applyFill="1" applyBorder="1" applyAlignment="1">
      <alignment horizontal="center" vertical="top" wrapText="1"/>
    </xf>
    <xf numFmtId="169" fontId="29" fillId="5" borderId="1" xfId="0" applyNumberFormat="1" applyFont="1" applyFill="1" applyBorder="1" applyAlignment="1">
      <alignment horizontal="center" vertical="top" wrapText="1"/>
    </xf>
    <xf numFmtId="169" fontId="29" fillId="15" borderId="1" xfId="0" applyNumberFormat="1" applyFont="1" applyFill="1" applyBorder="1" applyAlignment="1">
      <alignment horizontal="center" vertical="top" wrapText="1"/>
    </xf>
    <xf numFmtId="169" fontId="28" fillId="2" borderId="1" xfId="0" applyNumberFormat="1" applyFont="1" applyFill="1" applyBorder="1" applyAlignment="1">
      <alignment horizontal="center" vertical="top"/>
    </xf>
    <xf numFmtId="169" fontId="27" fillId="5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vertical="top"/>
    </xf>
    <xf numFmtId="169" fontId="27" fillId="5" borderId="1" xfId="0" applyNumberFormat="1" applyFont="1" applyFill="1" applyBorder="1" applyAlignment="1">
      <alignment horizontal="center" vertical="top"/>
    </xf>
    <xf numFmtId="168" fontId="11" fillId="8" borderId="1" xfId="0" applyNumberFormat="1" applyFont="1" applyFill="1" applyBorder="1" applyAlignment="1">
      <alignment vertical="center"/>
    </xf>
    <xf numFmtId="0" fontId="17" fillId="0" borderId="0" xfId="0" applyFont="1" applyAlignment="1">
      <alignment vertical="top"/>
    </xf>
    <xf numFmtId="0" fontId="18" fillId="7" borderId="1" xfId="0" applyFont="1" applyFill="1" applyBorder="1" applyAlignment="1">
      <alignment vertical="top"/>
    </xf>
    <xf numFmtId="0" fontId="18" fillId="5" borderId="1" xfId="0" applyFont="1" applyFill="1" applyBorder="1" applyAlignment="1"/>
    <xf numFmtId="43" fontId="17" fillId="0" borderId="1" xfId="0" applyNumberFormat="1" applyFont="1" applyFill="1" applyBorder="1" applyAlignment="1">
      <alignment vertical="top"/>
    </xf>
    <xf numFmtId="43" fontId="18" fillId="5" borderId="1" xfId="0" applyNumberFormat="1" applyFont="1" applyFill="1" applyBorder="1" applyAlignment="1">
      <alignment vertical="top"/>
    </xf>
    <xf numFmtId="0" fontId="18" fillId="3" borderId="1" xfId="0" applyFont="1" applyFill="1" applyBorder="1" applyAlignment="1">
      <alignment vertical="top"/>
    </xf>
    <xf numFmtId="0" fontId="18" fillId="6" borderId="1" xfId="0" applyFont="1" applyFill="1" applyBorder="1" applyAlignment="1"/>
    <xf numFmtId="43" fontId="16" fillId="5" borderId="1" xfId="1" applyFont="1" applyFill="1" applyBorder="1" applyAlignment="1">
      <alignment horizontal="center"/>
    </xf>
    <xf numFmtId="43" fontId="19" fillId="5" borderId="1" xfId="1" applyFont="1" applyFill="1" applyBorder="1" applyAlignment="1">
      <alignment horizontal="center"/>
    </xf>
    <xf numFmtId="169" fontId="28" fillId="5" borderId="1" xfId="0" applyNumberFormat="1" applyFont="1" applyFill="1" applyBorder="1" applyAlignment="1">
      <alignment horizontal="center" wrapText="1"/>
    </xf>
    <xf numFmtId="2" fontId="19" fillId="5" borderId="1" xfId="0" applyNumberFormat="1" applyFont="1" applyFill="1" applyBorder="1" applyAlignment="1">
      <alignment horizontal="center"/>
    </xf>
    <xf numFmtId="43" fontId="17" fillId="5" borderId="1" xfId="1" applyFont="1" applyFill="1" applyBorder="1" applyAlignment="1"/>
    <xf numFmtId="0" fontId="17" fillId="5" borderId="1" xfId="0" applyFont="1" applyFill="1" applyBorder="1" applyAlignment="1"/>
    <xf numFmtId="49" fontId="30" fillId="5" borderId="1" xfId="2" applyNumberFormat="1" applyFont="1" applyFill="1" applyBorder="1" applyAlignment="1">
      <alignment vertical="top" wrapText="1"/>
    </xf>
    <xf numFmtId="43" fontId="19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vertical="center"/>
    </xf>
    <xf numFmtId="169" fontId="29" fillId="0" borderId="1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vertical="center"/>
    </xf>
    <xf numFmtId="166" fontId="19" fillId="0" borderId="1" xfId="1" applyNumberFormat="1" applyFont="1" applyFill="1" applyBorder="1" applyAlignment="1">
      <alignment vertical="top"/>
    </xf>
    <xf numFmtId="43" fontId="20" fillId="6" borderId="1" xfId="1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left" vertical="top" wrapText="1"/>
    </xf>
    <xf numFmtId="49" fontId="16" fillId="5" borderId="1" xfId="0" applyNumberFormat="1" applyFont="1" applyFill="1" applyBorder="1" applyAlignment="1">
      <alignment vertical="top" wrapText="1"/>
    </xf>
    <xf numFmtId="49" fontId="16" fillId="0" borderId="1" xfId="0" applyNumberFormat="1" applyFont="1" applyBorder="1" applyAlignment="1">
      <alignment vertical="top"/>
    </xf>
    <xf numFmtId="0" fontId="17" fillId="0" borderId="4" xfId="0" applyFont="1" applyFill="1" applyBorder="1" applyAlignment="1">
      <alignment vertical="top"/>
    </xf>
    <xf numFmtId="0" fontId="17" fillId="0" borderId="4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32" fillId="8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43" fontId="10" fillId="0" borderId="1" xfId="1" applyFont="1" applyBorder="1" applyAlignment="1">
      <alignment horizontal="right" vertical="center"/>
    </xf>
    <xf numFmtId="43" fontId="15" fillId="0" borderId="1" xfId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horizontal="center" vertical="center"/>
    </xf>
    <xf numFmtId="43" fontId="10" fillId="0" borderId="1" xfId="1" applyFont="1" applyFill="1" applyBorder="1" applyAlignment="1">
      <alignment horizontal="right" vertical="top" wrapText="1"/>
    </xf>
    <xf numFmtId="43" fontId="6" fillId="0" borderId="1" xfId="1" applyFont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 wrapText="1"/>
    </xf>
    <xf numFmtId="43" fontId="10" fillId="0" borderId="1" xfId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top" wrapText="1"/>
    </xf>
    <xf numFmtId="43" fontId="15" fillId="0" borderId="1" xfId="1" applyFont="1" applyFill="1" applyBorder="1" applyAlignment="1">
      <alignment horizontal="right" vertical="top" wrapText="1"/>
    </xf>
    <xf numFmtId="43" fontId="10" fillId="0" borderId="1" xfId="1" applyFont="1" applyFill="1" applyBorder="1" applyAlignment="1">
      <alignment horizontal="right" vertical="top"/>
    </xf>
    <xf numFmtId="43" fontId="10" fillId="0" borderId="1" xfId="1" applyFont="1" applyBorder="1" applyAlignment="1">
      <alignment horizontal="right" vertical="top"/>
    </xf>
    <xf numFmtId="43" fontId="6" fillId="0" borderId="1" xfId="1" applyFont="1" applyFill="1" applyBorder="1" applyAlignment="1" applyProtection="1">
      <alignment horizontal="right" vertical="center" wrapText="1"/>
    </xf>
    <xf numFmtId="43" fontId="6" fillId="5" borderId="1" xfId="1" applyFont="1" applyFill="1" applyBorder="1" applyAlignment="1" applyProtection="1">
      <alignment horizontal="right" vertical="center" wrapText="1"/>
    </xf>
    <xf numFmtId="43" fontId="7" fillId="5" borderId="1" xfId="1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 wrapText="1"/>
    </xf>
    <xf numFmtId="43" fontId="15" fillId="6" borderId="1" xfId="1" applyFont="1" applyFill="1" applyBorder="1" applyAlignment="1">
      <alignment horizontal="right" vertical="center" wrapText="1"/>
    </xf>
    <xf numFmtId="43" fontId="6" fillId="5" borderId="1" xfId="1" applyFont="1" applyFill="1" applyBorder="1" applyAlignment="1">
      <alignment horizontal="right" vertical="center" wrapText="1"/>
    </xf>
    <xf numFmtId="43" fontId="15" fillId="0" borderId="1" xfId="1" applyFont="1" applyFill="1" applyBorder="1" applyAlignment="1">
      <alignment horizontal="right" vertical="top"/>
    </xf>
    <xf numFmtId="43" fontId="15" fillId="0" borderId="1" xfId="1" applyFont="1" applyFill="1" applyBorder="1" applyAlignment="1">
      <alignment horizontal="right" vertical="center"/>
    </xf>
    <xf numFmtId="43" fontId="6" fillId="8" borderId="1" xfId="1" applyFont="1" applyFill="1" applyBorder="1" applyAlignment="1">
      <alignment horizontal="right" vertical="center" wrapText="1"/>
    </xf>
    <xf numFmtId="43" fontId="32" fillId="0" borderId="0" xfId="1" applyFont="1" applyFill="1" applyBorder="1" applyAlignment="1">
      <alignment horizontal="right" vertical="center" wrapText="1"/>
    </xf>
    <xf numFmtId="43" fontId="15" fillId="0" borderId="0" xfId="1" applyFont="1" applyFill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43" fontId="6" fillId="4" borderId="1" xfId="1" applyFont="1" applyFill="1" applyBorder="1" applyAlignment="1" applyProtection="1">
      <alignment horizontal="right" vertical="center"/>
    </xf>
    <xf numFmtId="43" fontId="6" fillId="5" borderId="1" xfId="1" applyFont="1" applyFill="1" applyBorder="1" applyAlignment="1" applyProtection="1">
      <alignment horizontal="right" vertical="center"/>
    </xf>
    <xf numFmtId="43" fontId="6" fillId="4" borderId="1" xfId="1" applyFont="1" applyFill="1" applyBorder="1" applyAlignment="1" applyProtection="1">
      <alignment horizontal="right" vertical="center" wrapText="1"/>
    </xf>
    <xf numFmtId="43" fontId="5" fillId="0" borderId="1" xfId="1" applyFont="1" applyFill="1" applyBorder="1" applyAlignment="1">
      <alignment horizontal="right" vertical="top" wrapText="1"/>
    </xf>
    <xf numFmtId="43" fontId="4" fillId="0" borderId="1" xfId="1" applyFont="1" applyFill="1" applyBorder="1" applyAlignment="1">
      <alignment horizontal="right" vertical="top" wrapText="1"/>
    </xf>
    <xf numFmtId="43" fontId="32" fillId="8" borderId="2" xfId="1" applyFont="1" applyFill="1" applyBorder="1" applyAlignment="1">
      <alignment horizontal="right" vertical="center" wrapText="1"/>
    </xf>
    <xf numFmtId="43" fontId="6" fillId="8" borderId="2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43" fontId="10" fillId="0" borderId="5" xfId="1" applyFont="1" applyBorder="1" applyAlignment="1">
      <alignment horizontal="right" vertical="center"/>
    </xf>
    <xf numFmtId="43" fontId="15" fillId="0" borderId="3" xfId="1" applyFont="1" applyFill="1" applyBorder="1" applyAlignment="1">
      <alignment horizontal="right" vertical="top" wrapText="1"/>
    </xf>
    <xf numFmtId="43" fontId="10" fillId="0" borderId="3" xfId="1" applyFont="1" applyBorder="1" applyAlignment="1">
      <alignment horizontal="right" vertical="top"/>
    </xf>
    <xf numFmtId="43" fontId="10" fillId="0" borderId="11" xfId="1" applyFont="1" applyBorder="1" applyAlignment="1">
      <alignment horizontal="right" vertical="top"/>
    </xf>
    <xf numFmtId="43" fontId="6" fillId="0" borderId="1" xfId="1" applyFont="1" applyFill="1" applyBorder="1" applyAlignment="1" applyProtection="1">
      <alignment horizontal="right" vertical="center"/>
    </xf>
    <xf numFmtId="43" fontId="6" fillId="0" borderId="1" xfId="1" applyFont="1" applyFill="1" applyBorder="1" applyAlignment="1">
      <alignment horizontal="right" vertical="top"/>
    </xf>
    <xf numFmtId="43" fontId="6" fillId="7" borderId="1" xfId="1" applyFont="1" applyFill="1" applyBorder="1" applyAlignment="1">
      <alignment horizontal="right" vertical="center"/>
    </xf>
    <xf numFmtId="43" fontId="10" fillId="0" borderId="0" xfId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 applyProtection="1">
      <alignment horizontal="right" vertical="center" wrapText="1"/>
    </xf>
    <xf numFmtId="43" fontId="7" fillId="0" borderId="1" xfId="1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top"/>
    </xf>
    <xf numFmtId="43" fontId="7" fillId="0" borderId="0" xfId="1" applyFont="1" applyFill="1" applyAlignment="1">
      <alignment horizontal="right" vertical="center"/>
    </xf>
    <xf numFmtId="43" fontId="10" fillId="0" borderId="1" xfId="1" applyFont="1" applyFill="1" applyBorder="1" applyAlignment="1" applyProtection="1">
      <alignment horizontal="right" vertical="top" wrapText="1"/>
    </xf>
    <xf numFmtId="43" fontId="6" fillId="0" borderId="1" xfId="1" applyFont="1" applyFill="1" applyBorder="1" applyAlignment="1" applyProtection="1">
      <alignment horizontal="right" vertical="top" wrapText="1"/>
    </xf>
    <xf numFmtId="43" fontId="6" fillId="5" borderId="1" xfId="1" applyFont="1" applyFill="1" applyBorder="1" applyAlignment="1" applyProtection="1">
      <alignment vertical="center" wrapText="1"/>
    </xf>
    <xf numFmtId="43" fontId="10" fillId="0" borderId="1" xfId="1" applyFont="1" applyBorder="1" applyAlignment="1">
      <alignment vertical="top"/>
    </xf>
    <xf numFmtId="43" fontId="10" fillId="0" borderId="1" xfId="1" applyFont="1" applyFill="1" applyBorder="1" applyAlignment="1">
      <alignment vertical="top"/>
    </xf>
    <xf numFmtId="43" fontId="6" fillId="8" borderId="2" xfId="1" applyFont="1" applyFill="1" applyBorder="1" applyAlignment="1">
      <alignment horizontal="right" vertical="center" wrapText="1"/>
    </xf>
    <xf numFmtId="43" fontId="6" fillId="5" borderId="1" xfId="1" applyFont="1" applyFill="1" applyBorder="1" applyAlignment="1">
      <alignment horizontal="right" vertical="center"/>
    </xf>
    <xf numFmtId="43" fontId="33" fillId="5" borderId="1" xfId="1" applyFont="1" applyFill="1" applyBorder="1" applyAlignment="1">
      <alignment horizontal="right" vertical="center" wrapText="1"/>
    </xf>
    <xf numFmtId="43" fontId="6" fillId="17" borderId="1" xfId="1" applyFont="1" applyFill="1" applyBorder="1" applyAlignment="1">
      <alignment horizontal="right" vertical="center"/>
    </xf>
    <xf numFmtId="43" fontId="32" fillId="17" borderId="1" xfId="1" applyFont="1" applyFill="1" applyBorder="1" applyAlignment="1">
      <alignment horizontal="right" vertical="center"/>
    </xf>
    <xf numFmtId="43" fontId="33" fillId="17" borderId="1" xfId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43" fontId="6" fillId="5" borderId="1" xfId="1" applyFont="1" applyFill="1" applyBorder="1" applyAlignment="1">
      <alignment horizontal="right" vertical="top" wrapText="1"/>
    </xf>
    <xf numFmtId="43" fontId="6" fillId="5" borderId="1" xfId="1" applyFont="1" applyFill="1" applyBorder="1" applyAlignment="1" applyProtection="1">
      <alignment horizontal="right" vertical="top" wrapText="1"/>
    </xf>
    <xf numFmtId="0" fontId="6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43" fontId="10" fillId="0" borderId="1" xfId="0" applyNumberFormat="1" applyFont="1" applyBorder="1" applyAlignment="1">
      <alignment horizontal="center" vertical="center"/>
    </xf>
    <xf numFmtId="0" fontId="6" fillId="19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top" wrapText="1"/>
    </xf>
    <xf numFmtId="43" fontId="15" fillId="0" borderId="1" xfId="1" applyFont="1" applyFill="1" applyBorder="1" applyAlignment="1">
      <alignment vertical="center"/>
    </xf>
    <xf numFmtId="43" fontId="10" fillId="0" borderId="1" xfId="1" applyFont="1" applyBorder="1" applyAlignment="1">
      <alignment horizontal="center" vertical="center"/>
    </xf>
    <xf numFmtId="43" fontId="10" fillId="0" borderId="1" xfId="1" applyFont="1" applyBorder="1" applyAlignment="1">
      <alignment vertical="center"/>
    </xf>
    <xf numFmtId="43" fontId="10" fillId="0" borderId="1" xfId="1" applyFont="1" applyBorder="1" applyAlignment="1">
      <alignment horizontal="center" vertical="top"/>
    </xf>
    <xf numFmtId="43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top"/>
    </xf>
    <xf numFmtId="43" fontId="10" fillId="0" borderId="1" xfId="1" applyFont="1" applyFill="1" applyBorder="1" applyAlignment="1">
      <alignment vertical="center"/>
    </xf>
    <xf numFmtId="43" fontId="15" fillId="0" borderId="1" xfId="1" applyFont="1" applyFill="1" applyBorder="1" applyAlignment="1">
      <alignment horizontal="center" vertical="center"/>
    </xf>
    <xf numFmtId="43" fontId="10" fillId="0" borderId="0" xfId="1" applyFont="1" applyAlignment="1">
      <alignment vertical="top"/>
    </xf>
    <xf numFmtId="43" fontId="15" fillId="0" borderId="1" xfId="1" applyFont="1" applyFill="1" applyBorder="1" applyAlignment="1">
      <alignment vertical="top"/>
    </xf>
    <xf numFmtId="167" fontId="16" fillId="2" borderId="1" xfId="0" applyNumberFormat="1" applyFont="1" applyFill="1" applyBorder="1" applyAlignment="1">
      <alignment vertical="top"/>
    </xf>
    <xf numFmtId="43" fontId="17" fillId="2" borderId="1" xfId="0" applyNumberFormat="1" applyFont="1" applyFill="1" applyBorder="1" applyAlignment="1">
      <alignment vertical="top"/>
    </xf>
    <xf numFmtId="43" fontId="17" fillId="0" borderId="1" xfId="0" applyNumberFormat="1" applyFont="1" applyFill="1" applyBorder="1" applyAlignment="1"/>
    <xf numFmtId="43" fontId="17" fillId="15" borderId="1" xfId="0" applyNumberFormat="1" applyFont="1" applyFill="1" applyBorder="1" applyAlignment="1">
      <alignment vertical="top"/>
    </xf>
    <xf numFmtId="43" fontId="18" fillId="5" borderId="1" xfId="1" applyFont="1" applyFill="1" applyBorder="1" applyAlignment="1">
      <alignment horizontal="center" wrapText="1"/>
    </xf>
    <xf numFmtId="43" fontId="18" fillId="7" borderId="1" xfId="0" applyNumberFormat="1" applyFont="1" applyFill="1" applyBorder="1" applyAlignment="1">
      <alignment horizontal="center" vertical="top" wrapText="1"/>
    </xf>
    <xf numFmtId="167" fontId="16" fillId="5" borderId="1" xfId="0" applyNumberFormat="1" applyFont="1" applyFill="1" applyBorder="1" applyAlignment="1">
      <alignment horizontal="center" wrapText="1"/>
    </xf>
    <xf numFmtId="43" fontId="16" fillId="5" borderId="1" xfId="1" applyFont="1" applyFill="1" applyBorder="1" applyAlignment="1">
      <alignment horizontal="center" wrapText="1"/>
    </xf>
    <xf numFmtId="49" fontId="19" fillId="3" borderId="1" xfId="2" applyNumberFormat="1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/>
    </xf>
    <xf numFmtId="49" fontId="19" fillId="0" borderId="1" xfId="0" applyNumberFormat="1" applyFont="1" applyFill="1" applyBorder="1" applyAlignment="1"/>
    <xf numFmtId="49" fontId="5" fillId="0" borderId="1" xfId="1" applyNumberFormat="1" applyFont="1" applyFill="1" applyBorder="1" applyAlignment="1" applyProtection="1">
      <alignment horizontal="left" vertical="top" wrapText="1"/>
    </xf>
    <xf numFmtId="49" fontId="5" fillId="0" borderId="1" xfId="1" applyNumberFormat="1" applyFont="1" applyFill="1" applyBorder="1" applyAlignment="1" applyProtection="1">
      <alignment horizontal="left" vertical="top"/>
    </xf>
    <xf numFmtId="43" fontId="10" fillId="0" borderId="3" xfId="1" applyFont="1" applyFill="1" applyBorder="1" applyAlignment="1">
      <alignment horizontal="right" vertical="center"/>
    </xf>
    <xf numFmtId="43" fontId="6" fillId="17" borderId="3" xfId="1" applyFont="1" applyFill="1" applyBorder="1" applyAlignment="1">
      <alignment horizontal="right" vertical="center"/>
    </xf>
    <xf numFmtId="43" fontId="33" fillId="17" borderId="3" xfId="1" applyFont="1" applyFill="1" applyBorder="1" applyAlignment="1">
      <alignment horizontal="right" vertical="center"/>
    </xf>
    <xf numFmtId="167" fontId="16" fillId="6" borderId="1" xfId="0" applyNumberFormat="1" applyFont="1" applyFill="1" applyBorder="1" applyAlignment="1">
      <alignment horizontal="center" wrapText="1"/>
    </xf>
    <xf numFmtId="165" fontId="16" fillId="6" borderId="1" xfId="1" applyNumberFormat="1" applyFont="1" applyFill="1" applyBorder="1" applyAlignment="1">
      <alignment horizontal="center" wrapText="1"/>
    </xf>
    <xf numFmtId="43" fontId="18" fillId="6" borderId="1" xfId="0" applyNumberFormat="1" applyFont="1" applyFill="1" applyBorder="1" applyAlignment="1"/>
    <xf numFmtId="0" fontId="18" fillId="0" borderId="3" xfId="0" applyFont="1" applyFill="1" applyBorder="1" applyAlignment="1">
      <alignment horizontal="center" vertical="top"/>
    </xf>
    <xf numFmtId="49" fontId="16" fillId="0" borderId="3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top" wrapText="1"/>
    </xf>
    <xf numFmtId="43" fontId="19" fillId="0" borderId="3" xfId="1" applyFont="1" applyFill="1" applyBorder="1" applyAlignment="1">
      <alignment horizontal="right" vertical="top"/>
    </xf>
    <xf numFmtId="169" fontId="28" fillId="0" borderId="3" xfId="0" applyNumberFormat="1" applyFont="1" applyFill="1" applyBorder="1" applyAlignment="1">
      <alignment horizontal="center" vertical="top"/>
    </xf>
    <xf numFmtId="167" fontId="16" fillId="0" borderId="3" xfId="0" applyNumberFormat="1" applyFont="1" applyFill="1" applyBorder="1" applyAlignment="1">
      <alignment horizontal="center" vertical="top"/>
    </xf>
    <xf numFmtId="167" fontId="18" fillId="0" borderId="3" xfId="0" applyNumberFormat="1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vertical="top"/>
    </xf>
    <xf numFmtId="49" fontId="16" fillId="0" borderId="3" xfId="0" applyNumberFormat="1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top"/>
    </xf>
    <xf numFmtId="49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43" fontId="19" fillId="0" borderId="2" xfId="1" applyFont="1" applyFill="1" applyBorder="1" applyAlignment="1">
      <alignment horizontal="right" vertical="top"/>
    </xf>
    <xf numFmtId="169" fontId="28" fillId="0" borderId="2" xfId="0" applyNumberFormat="1" applyFont="1" applyFill="1" applyBorder="1" applyAlignment="1">
      <alignment horizontal="center" vertical="top"/>
    </xf>
    <xf numFmtId="167" fontId="16" fillId="0" borderId="2" xfId="0" applyNumberFormat="1" applyFont="1" applyFill="1" applyBorder="1" applyAlignment="1">
      <alignment horizontal="center" vertical="top"/>
    </xf>
    <xf numFmtId="167" fontId="18" fillId="0" borderId="2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vertical="top"/>
    </xf>
    <xf numFmtId="49" fontId="16" fillId="0" borderId="2" xfId="0" applyNumberFormat="1" applyFont="1" applyFill="1" applyBorder="1" applyAlignment="1">
      <alignment vertical="top" wrapText="1"/>
    </xf>
    <xf numFmtId="14" fontId="19" fillId="5" borderId="1" xfId="1" applyNumberFormat="1" applyFont="1" applyFill="1" applyBorder="1" applyAlignment="1">
      <alignment horizontal="center"/>
    </xf>
    <xf numFmtId="14" fontId="16" fillId="5" borderId="1" xfId="0" applyNumberFormat="1" applyFont="1" applyFill="1" applyBorder="1" applyAlignment="1">
      <alignment horizontal="center" wrapText="1"/>
    </xf>
    <xf numFmtId="43" fontId="19" fillId="5" borderId="1" xfId="1" applyFont="1" applyFill="1" applyBorder="1" applyAlignment="1">
      <alignment horizontal="right"/>
    </xf>
    <xf numFmtId="43" fontId="16" fillId="0" borderId="1" xfId="1" applyNumberFormat="1" applyFont="1" applyFill="1" applyBorder="1" applyAlignment="1">
      <alignment horizontal="center" vertical="top"/>
    </xf>
    <xf numFmtId="43" fontId="16" fillId="0" borderId="1" xfId="1" applyNumberFormat="1" applyFont="1" applyFill="1" applyBorder="1" applyAlignment="1">
      <alignment horizontal="center"/>
    </xf>
    <xf numFmtId="43" fontId="16" fillId="0" borderId="0" xfId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center" vertical="top" wrapText="1"/>
    </xf>
    <xf numFmtId="43" fontId="15" fillId="0" borderId="1" xfId="1" applyFont="1" applyFill="1" applyBorder="1" applyAlignment="1">
      <alignment vertical="center" wrapText="1"/>
    </xf>
    <xf numFmtId="43" fontId="31" fillId="0" borderId="1" xfId="1" applyFont="1" applyFill="1" applyBorder="1" applyAlignment="1">
      <alignment horizontal="right" vertical="top" wrapText="1"/>
    </xf>
    <xf numFmtId="43" fontId="17" fillId="5" borderId="1" xfId="0" applyNumberFormat="1" applyFont="1" applyFill="1" applyBorder="1" applyAlignment="1">
      <alignment vertical="top"/>
    </xf>
    <xf numFmtId="0" fontId="17" fillId="5" borderId="1" xfId="0" applyFont="1" applyFill="1" applyBorder="1" applyAlignment="1">
      <alignment vertical="top"/>
    </xf>
    <xf numFmtId="43" fontId="18" fillId="5" borderId="1" xfId="1" applyFont="1" applyFill="1" applyBorder="1" applyAlignment="1">
      <alignment horizontal="center" vertical="top"/>
    </xf>
    <xf numFmtId="43" fontId="17" fillId="5" borderId="1" xfId="1" applyNumberFormat="1" applyFont="1" applyFill="1" applyBorder="1" applyAlignment="1">
      <alignment vertical="top"/>
    </xf>
    <xf numFmtId="43" fontId="16" fillId="0" borderId="1" xfId="1" applyFont="1" applyFill="1" applyBorder="1" applyAlignment="1">
      <alignment horizontal="center" vertical="top" wrapText="1"/>
    </xf>
    <xf numFmtId="2" fontId="18" fillId="7" borderId="1" xfId="0" applyNumberFormat="1" applyFont="1" applyFill="1" applyBorder="1" applyAlignment="1">
      <alignment horizontal="center" vertical="top"/>
    </xf>
    <xf numFmtId="43" fontId="17" fillId="5" borderId="1" xfId="0" applyNumberFormat="1" applyFont="1" applyFill="1" applyBorder="1" applyAlignment="1">
      <alignment vertical="top"/>
    </xf>
    <xf numFmtId="0" fontId="26" fillId="0" borderId="1" xfId="0" applyFont="1" applyFill="1" applyBorder="1" applyAlignment="1">
      <alignment horizontal="center" vertical="top"/>
    </xf>
    <xf numFmtId="49" fontId="38" fillId="0" borderId="1" xfId="0" applyNumberFormat="1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center" vertical="top" wrapText="1"/>
    </xf>
    <xf numFmtId="43" fontId="38" fillId="0" borderId="1" xfId="1" applyFont="1" applyFill="1" applyBorder="1" applyAlignment="1">
      <alignment horizontal="right" vertical="top"/>
    </xf>
    <xf numFmtId="169" fontId="39" fillId="0" borderId="1" xfId="0" applyNumberFormat="1" applyFont="1" applyFill="1" applyBorder="1" applyAlignment="1">
      <alignment horizontal="center" vertical="top"/>
    </xf>
    <xf numFmtId="167" fontId="38" fillId="0" borderId="1" xfId="0" applyNumberFormat="1" applyFont="1" applyFill="1" applyBorder="1" applyAlignment="1">
      <alignment horizontal="center" vertical="top"/>
    </xf>
    <xf numFmtId="167" fontId="26" fillId="0" borderId="1" xfId="0" applyNumberFormat="1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43" fontId="38" fillId="0" borderId="1" xfId="0" applyNumberFormat="1" applyFont="1" applyFill="1" applyBorder="1" applyAlignment="1">
      <alignment vertical="top"/>
    </xf>
    <xf numFmtId="0" fontId="26" fillId="0" borderId="1" xfId="0" applyFont="1" applyFill="1" applyBorder="1" applyAlignment="1">
      <alignment vertical="top"/>
    </xf>
    <xf numFmtId="49" fontId="38" fillId="0" borderId="1" xfId="0" applyNumberFormat="1" applyFont="1" applyFill="1" applyBorder="1" applyAlignment="1">
      <alignment vertical="top"/>
    </xf>
    <xf numFmtId="0" fontId="26" fillId="2" borderId="0" xfId="0" applyFont="1" applyFill="1" applyAlignment="1">
      <alignment vertical="top"/>
    </xf>
    <xf numFmtId="43" fontId="17" fillId="2" borderId="1" xfId="1" applyNumberFormat="1" applyFont="1" applyFill="1" applyBorder="1" applyAlignment="1">
      <alignment vertical="top"/>
    </xf>
    <xf numFmtId="0" fontId="10" fillId="20" borderId="0" xfId="0" applyFont="1" applyFill="1" applyAlignment="1">
      <alignment vertical="top"/>
    </xf>
    <xf numFmtId="43" fontId="6" fillId="5" borderId="1" xfId="1" applyFont="1" applyFill="1" applyBorder="1" applyAlignment="1">
      <alignment vertical="center" wrapText="1"/>
    </xf>
    <xf numFmtId="43" fontId="10" fillId="0" borderId="1" xfId="1" applyFont="1" applyFill="1" applyBorder="1" applyAlignment="1">
      <alignment vertical="top" wrapText="1"/>
    </xf>
    <xf numFmtId="43" fontId="6" fillId="8" borderId="2" xfId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15" fillId="0" borderId="0" xfId="1" applyFont="1" applyFill="1" applyAlignment="1">
      <alignment vertical="center"/>
    </xf>
    <xf numFmtId="43" fontId="10" fillId="0" borderId="0" xfId="1" applyFont="1" applyAlignment="1">
      <alignment vertical="center"/>
    </xf>
    <xf numFmtId="43" fontId="8" fillId="0" borderId="1" xfId="1" applyFont="1" applyFill="1" applyBorder="1" applyAlignment="1">
      <alignment horizontal="right" vertical="top" wrapText="1"/>
    </xf>
    <xf numFmtId="43" fontId="41" fillId="0" borderId="0" xfId="1" applyFont="1" applyFill="1" applyAlignment="1">
      <alignment vertical="center"/>
    </xf>
    <xf numFmtId="0" fontId="41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43" fontId="41" fillId="0" borderId="1" xfId="1" applyFont="1" applyFill="1" applyBorder="1" applyAlignment="1">
      <alignment horizontal="right" vertical="center" wrapText="1"/>
    </xf>
    <xf numFmtId="43" fontId="41" fillId="0" borderId="1" xfId="1" applyFont="1" applyFill="1" applyBorder="1" applyAlignment="1">
      <alignment horizontal="right" vertical="center"/>
    </xf>
    <xf numFmtId="43" fontId="40" fillId="0" borderId="1" xfId="1" applyFont="1" applyFill="1" applyBorder="1" applyAlignment="1">
      <alignment horizontal="right" vertical="center"/>
    </xf>
    <xf numFmtId="0" fontId="41" fillId="0" borderId="1" xfId="0" applyFont="1" applyFill="1" applyBorder="1" applyAlignment="1">
      <alignment vertical="top"/>
    </xf>
    <xf numFmtId="0" fontId="41" fillId="0" borderId="1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center" vertical="top" wrapText="1"/>
    </xf>
    <xf numFmtId="43" fontId="41" fillId="0" borderId="1" xfId="1" applyFont="1" applyFill="1" applyBorder="1" applyAlignment="1">
      <alignment horizontal="right" vertical="top" wrapText="1"/>
    </xf>
    <xf numFmtId="43" fontId="40" fillId="0" borderId="1" xfId="1" applyFont="1" applyFill="1" applyBorder="1" applyAlignment="1">
      <alignment horizontal="right" vertical="top" wrapText="1"/>
    </xf>
    <xf numFmtId="0" fontId="41" fillId="0" borderId="0" xfId="0" applyFont="1" applyAlignment="1">
      <alignment vertical="top"/>
    </xf>
    <xf numFmtId="43" fontId="41" fillId="0" borderId="1" xfId="1" applyFont="1" applyFill="1" applyBorder="1" applyAlignment="1">
      <alignment horizontal="right" vertical="top"/>
    </xf>
    <xf numFmtId="43" fontId="40" fillId="0" borderId="1" xfId="1" applyFont="1" applyFill="1" applyBorder="1" applyAlignment="1">
      <alignment horizontal="right" vertical="top"/>
    </xf>
    <xf numFmtId="0" fontId="41" fillId="0" borderId="1" xfId="0" applyFont="1" applyBorder="1" applyAlignment="1">
      <alignment vertical="top"/>
    </xf>
    <xf numFmtId="43" fontId="41" fillId="0" borderId="1" xfId="1" applyFont="1" applyBorder="1" applyAlignment="1">
      <alignment horizontal="right" vertical="top"/>
    </xf>
    <xf numFmtId="43" fontId="10" fillId="0" borderId="1" xfId="1" applyFont="1" applyFill="1" applyBorder="1" applyAlignment="1">
      <alignment vertical="center" wrapText="1"/>
    </xf>
    <xf numFmtId="43" fontId="10" fillId="0" borderId="5" xfId="1" applyFont="1" applyBorder="1" applyAlignment="1">
      <alignment vertical="center"/>
    </xf>
    <xf numFmtId="43" fontId="10" fillId="0" borderId="11" xfId="1" applyFont="1" applyBorder="1" applyAlignment="1">
      <alignment vertical="top"/>
    </xf>
    <xf numFmtId="43" fontId="41" fillId="0" borderId="1" xfId="1" applyFont="1" applyBorder="1" applyAlignment="1">
      <alignment vertical="top"/>
    </xf>
    <xf numFmtId="43" fontId="6" fillId="8" borderId="1" xfId="1" applyFont="1" applyFill="1" applyBorder="1" applyAlignment="1">
      <alignment vertical="center"/>
    </xf>
    <xf numFmtId="43" fontId="6" fillId="5" borderId="1" xfId="1" applyFont="1" applyFill="1" applyBorder="1" applyAlignment="1" applyProtection="1">
      <alignment vertical="center"/>
    </xf>
    <xf numFmtId="43" fontId="41" fillId="0" borderId="1" xfId="1" applyFont="1" applyFill="1" applyBorder="1" applyAlignment="1">
      <alignment vertical="top" wrapText="1"/>
    </xf>
    <xf numFmtId="43" fontId="41" fillId="0" borderId="1" xfId="1" applyFont="1" applyFill="1" applyBorder="1" applyAlignment="1">
      <alignment vertical="top"/>
    </xf>
    <xf numFmtId="43" fontId="6" fillId="7" borderId="1" xfId="1" applyFont="1" applyFill="1" applyBorder="1" applyAlignment="1">
      <alignment vertical="center"/>
    </xf>
    <xf numFmtId="43" fontId="32" fillId="17" borderId="3" xfId="1" applyFont="1" applyFill="1" applyBorder="1" applyAlignment="1">
      <alignment vertical="center"/>
    </xf>
    <xf numFmtId="43" fontId="32" fillId="17" borderId="1" xfId="1" applyFont="1" applyFill="1" applyBorder="1" applyAlignment="1">
      <alignment vertical="center"/>
    </xf>
    <xf numFmtId="43" fontId="6" fillId="5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vertical="top" wrapText="1"/>
    </xf>
    <xf numFmtId="43" fontId="6" fillId="0" borderId="1" xfId="1" applyFont="1" applyFill="1" applyBorder="1" applyAlignment="1">
      <alignment vertical="top"/>
    </xf>
    <xf numFmtId="43" fontId="40" fillId="0" borderId="1" xfId="1" applyFont="1" applyFill="1" applyBorder="1" applyAlignment="1">
      <alignment vertical="top" wrapText="1"/>
    </xf>
    <xf numFmtId="43" fontId="40" fillId="0" borderId="1" xfId="1" applyFont="1" applyFill="1" applyBorder="1" applyAlignment="1">
      <alignment vertical="top"/>
    </xf>
    <xf numFmtId="43" fontId="6" fillId="0" borderId="0" xfId="1" applyFont="1" applyAlignment="1">
      <alignment vertical="center"/>
    </xf>
    <xf numFmtId="43" fontId="15" fillId="0" borderId="1" xfId="1" applyFont="1" applyFill="1" applyBorder="1" applyAlignment="1">
      <alignment vertical="top" wrapText="1"/>
    </xf>
    <xf numFmtId="43" fontId="10" fillId="0" borderId="1" xfId="1" applyFont="1" applyFill="1" applyBorder="1" applyAlignment="1" applyProtection="1">
      <alignment vertical="center" wrapText="1"/>
    </xf>
    <xf numFmtId="43" fontId="41" fillId="0" borderId="1" xfId="1" applyFont="1" applyFill="1" applyBorder="1" applyAlignment="1">
      <alignment vertical="center"/>
    </xf>
    <xf numFmtId="43" fontId="6" fillId="0" borderId="0" xfId="1" applyFont="1" applyFill="1" applyAlignment="1">
      <alignment vertical="top"/>
    </xf>
    <xf numFmtId="43" fontId="18" fillId="5" borderId="1" xfId="1" applyFont="1" applyFill="1" applyBorder="1" applyAlignment="1">
      <alignment horizontal="center" vertical="top"/>
    </xf>
    <xf numFmtId="43" fontId="17" fillId="0" borderId="0" xfId="0" applyNumberFormat="1" applyFont="1" applyAlignment="1">
      <alignment vertical="top"/>
    </xf>
    <xf numFmtId="43" fontId="10" fillId="0" borderId="1" xfId="0" applyNumberFormat="1" applyFont="1" applyBorder="1" applyAlignment="1">
      <alignment horizontal="center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43" fontId="7" fillId="5" borderId="1" xfId="1" applyFont="1" applyFill="1" applyBorder="1" applyAlignment="1">
      <alignment horizontal="right" vertical="top" wrapText="1"/>
    </xf>
    <xf numFmtId="43" fontId="7" fillId="5" borderId="1" xfId="1" applyFont="1" applyFill="1" applyBorder="1" applyAlignment="1">
      <alignment vertical="top" wrapText="1"/>
    </xf>
    <xf numFmtId="43" fontId="18" fillId="5" borderId="1" xfId="1" applyFont="1" applyFill="1" applyBorder="1" applyAlignment="1"/>
    <xf numFmtId="0" fontId="13" fillId="0" borderId="0" xfId="0" applyFont="1" applyBorder="1" applyAlignment="1">
      <alignment vertical="top"/>
    </xf>
    <xf numFmtId="167" fontId="13" fillId="0" borderId="0" xfId="0" applyNumberFormat="1" applyFont="1" applyFill="1" applyBorder="1" applyAlignment="1">
      <alignment horizontal="center" vertical="top"/>
    </xf>
    <xf numFmtId="43" fontId="13" fillId="0" borderId="0" xfId="1" applyFont="1" applyBorder="1" applyAlignment="1">
      <alignment horizontal="center" vertical="top"/>
    </xf>
    <xf numFmtId="2" fontId="13" fillId="0" borderId="0" xfId="0" applyNumberFormat="1" applyFont="1" applyBorder="1" applyAlignment="1">
      <alignment horizontal="center" vertical="top"/>
    </xf>
    <xf numFmtId="43" fontId="12" fillId="0" borderId="0" xfId="1" applyFont="1" applyBorder="1" applyAlignment="1">
      <alignment vertical="top"/>
    </xf>
    <xf numFmtId="169" fontId="12" fillId="0" borderId="0" xfId="0" applyNumberFormat="1" applyFont="1" applyBorder="1" applyAlignment="1">
      <alignment horizontal="center" vertical="top"/>
    </xf>
    <xf numFmtId="167" fontId="13" fillId="0" borderId="0" xfId="0" applyNumberFormat="1" applyFont="1" applyBorder="1" applyAlignment="1">
      <alignment vertical="top"/>
    </xf>
    <xf numFmtId="169" fontId="9" fillId="0" borderId="0" xfId="0" applyNumberFormat="1" applyFont="1" applyAlignment="1">
      <alignment horizontal="left" vertical="top"/>
    </xf>
    <xf numFmtId="167" fontId="8" fillId="0" borderId="0" xfId="0" applyNumberFormat="1" applyFont="1" applyFill="1" applyAlignment="1">
      <alignment horizontal="center" vertical="top"/>
    </xf>
    <xf numFmtId="167" fontId="8" fillId="0" borderId="0" xfId="0" applyNumberFormat="1" applyFont="1" applyAlignment="1">
      <alignment vertical="top"/>
    </xf>
    <xf numFmtId="43" fontId="8" fillId="0" borderId="0" xfId="1" applyFont="1" applyAlignment="1">
      <alignment horizontal="center" vertical="top"/>
    </xf>
    <xf numFmtId="2" fontId="8" fillId="0" borderId="0" xfId="0" applyNumberFormat="1" applyFont="1" applyAlignment="1">
      <alignment horizontal="center" vertical="top"/>
    </xf>
    <xf numFmtId="43" fontId="9" fillId="0" borderId="0" xfId="1" applyFont="1" applyAlignment="1">
      <alignment vertical="top"/>
    </xf>
    <xf numFmtId="169" fontId="9" fillId="0" borderId="0" xfId="0" applyNumberFormat="1" applyFont="1" applyAlignment="1">
      <alignment horizontal="center" vertical="top"/>
    </xf>
    <xf numFmtId="43" fontId="20" fillId="5" borderId="1" xfId="1" applyFont="1" applyFill="1" applyBorder="1" applyAlignment="1">
      <alignment horizontal="center" vertical="top"/>
    </xf>
    <xf numFmtId="43" fontId="18" fillId="6" borderId="1" xfId="1" applyFont="1" applyFill="1" applyBorder="1" applyAlignment="1">
      <alignment horizontal="center" wrapText="1"/>
    </xf>
    <xf numFmtId="43" fontId="18" fillId="2" borderId="0" xfId="0" applyNumberFormat="1" applyFont="1" applyFill="1" applyAlignment="1"/>
    <xf numFmtId="164" fontId="18" fillId="2" borderId="0" xfId="0" applyNumberFormat="1" applyFont="1" applyFill="1" applyAlignment="1"/>
    <xf numFmtId="43" fontId="17" fillId="5" borderId="1" xfId="0" applyNumberFormat="1" applyFont="1" applyFill="1" applyBorder="1" applyAlignment="1">
      <alignment vertical="top"/>
    </xf>
    <xf numFmtId="164" fontId="18" fillId="0" borderId="1" xfId="0" applyNumberFormat="1" applyFont="1" applyFill="1" applyBorder="1" applyAlignment="1">
      <alignment vertical="top"/>
    </xf>
    <xf numFmtId="164" fontId="17" fillId="0" borderId="1" xfId="0" applyNumberFormat="1" applyFont="1" applyFill="1" applyBorder="1" applyAlignment="1">
      <alignment vertical="top"/>
    </xf>
    <xf numFmtId="164" fontId="18" fillId="6" borderId="1" xfId="0" applyNumberFormat="1" applyFont="1" applyFill="1" applyBorder="1" applyAlignment="1">
      <alignment horizontal="center" wrapText="1"/>
    </xf>
    <xf numFmtId="43" fontId="32" fillId="0" borderId="0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vertical="top"/>
    </xf>
    <xf numFmtId="0" fontId="43" fillId="0" borderId="1" xfId="0" applyFont="1" applyFill="1" applyBorder="1" applyAlignment="1">
      <alignment horizontal="center" vertical="top" wrapText="1"/>
    </xf>
    <xf numFmtId="43" fontId="10" fillId="0" borderId="0" xfId="1" applyFont="1" applyBorder="1" applyAlignment="1">
      <alignment vertical="center"/>
    </xf>
    <xf numFmtId="43" fontId="6" fillId="0" borderId="1" xfId="1" applyFont="1" applyBorder="1" applyAlignment="1" applyProtection="1">
      <alignment horizontal="center" vertical="center"/>
    </xf>
    <xf numFmtId="43" fontId="10" fillId="0" borderId="1" xfId="1" applyFont="1" applyBorder="1" applyAlignment="1" applyProtection="1">
      <alignment vertical="center"/>
    </xf>
    <xf numFmtId="43" fontId="10" fillId="0" borderId="1" xfId="1" applyFont="1" applyBorder="1" applyAlignment="1" applyProtection="1">
      <alignment vertical="top"/>
    </xf>
    <xf numFmtId="43" fontId="10" fillId="0" borderId="1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0" borderId="1" xfId="1" applyFont="1" applyBorder="1" applyAlignment="1" applyProtection="1">
      <alignment horizontal="center" vertical="center"/>
    </xf>
    <xf numFmtId="43" fontId="10" fillId="0" borderId="1" xfId="1" applyFont="1" applyBorder="1" applyAlignment="1" applyProtection="1">
      <alignment horizontal="center" vertical="top"/>
    </xf>
    <xf numFmtId="43" fontId="10" fillId="0" borderId="1" xfId="1" applyFont="1" applyFill="1" applyBorder="1" applyAlignment="1">
      <alignment horizontal="center" vertical="top"/>
    </xf>
    <xf numFmtId="43" fontId="10" fillId="0" borderId="0" xfId="1" applyFont="1" applyFill="1" applyAlignment="1">
      <alignment vertical="top"/>
    </xf>
    <xf numFmtId="0" fontId="33" fillId="8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top"/>
    </xf>
    <xf numFmtId="43" fontId="10" fillId="0" borderId="0" xfId="1" applyFont="1" applyFill="1" applyBorder="1" applyAlignment="1">
      <alignment vertical="center"/>
    </xf>
    <xf numFmtId="43" fontId="15" fillId="0" borderId="0" xfId="1" applyFont="1" applyFill="1" applyBorder="1" applyAlignment="1">
      <alignment vertical="center"/>
    </xf>
    <xf numFmtId="43" fontId="41" fillId="0" borderId="1" xfId="1" applyFont="1" applyBorder="1" applyAlignment="1">
      <alignment vertical="center"/>
    </xf>
    <xf numFmtId="43" fontId="41" fillId="0" borderId="1" xfId="1" applyFont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top"/>
    </xf>
    <xf numFmtId="43" fontId="6" fillId="0" borderId="1" xfId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 wrapText="1"/>
    </xf>
    <xf numFmtId="43" fontId="18" fillId="7" borderId="3" xfId="1" applyFont="1" applyFill="1" applyBorder="1" applyAlignment="1" applyProtection="1">
      <alignment vertical="center"/>
    </xf>
    <xf numFmtId="43" fontId="18" fillId="7" borderId="1" xfId="1" applyFont="1" applyFill="1" applyBorder="1" applyAlignment="1" applyProtection="1">
      <alignment vertical="center"/>
    </xf>
    <xf numFmtId="43" fontId="32" fillId="17" borderId="11" xfId="1" applyFont="1" applyFill="1" applyBorder="1" applyAlignment="1">
      <alignment vertical="center"/>
    </xf>
    <xf numFmtId="43" fontId="10" fillId="17" borderId="5" xfId="1" applyFont="1" applyFill="1" applyBorder="1" applyAlignment="1">
      <alignment vertical="center"/>
    </xf>
    <xf numFmtId="43" fontId="6" fillId="5" borderId="5" xfId="1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43" fontId="15" fillId="0" borderId="0" xfId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43" fontId="22" fillId="0" borderId="0" xfId="1" applyFont="1" applyFill="1" applyBorder="1" applyAlignment="1">
      <alignment horizontal="right" vertical="center"/>
    </xf>
    <xf numFmtId="164" fontId="17" fillId="0" borderId="0" xfId="0" applyNumberFormat="1" applyFont="1" applyAlignment="1">
      <alignment vertical="top"/>
    </xf>
    <xf numFmtId="43" fontId="36" fillId="17" borderId="1" xfId="1" applyFont="1" applyFill="1" applyBorder="1" applyAlignment="1">
      <alignment horizontal="right" vertical="center"/>
    </xf>
    <xf numFmtId="43" fontId="14" fillId="0" borderId="1" xfId="1" applyFont="1" applyFill="1" applyBorder="1" applyAlignment="1">
      <alignment horizontal="right" vertical="top"/>
    </xf>
    <xf numFmtId="43" fontId="33" fillId="0" borderId="0" xfId="1" applyFont="1" applyFill="1" applyBorder="1" applyAlignment="1">
      <alignment horizontal="center" vertical="center" wrapText="1"/>
    </xf>
    <xf numFmtId="43" fontId="33" fillId="0" borderId="0" xfId="1" applyFont="1" applyFill="1" applyBorder="1" applyAlignment="1">
      <alignment horizontal="right" vertical="center" wrapText="1"/>
    </xf>
    <xf numFmtId="43" fontId="7" fillId="0" borderId="0" xfId="1" applyFont="1" applyFill="1" applyAlignment="1">
      <alignment vertical="center"/>
    </xf>
    <xf numFmtId="43" fontId="45" fillId="0" borderId="0" xfId="1" applyFont="1" applyFill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3" fontId="40" fillId="0" borderId="0" xfId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43" fontId="17" fillId="5" borderId="5" xfId="0" applyNumberFormat="1" applyFont="1" applyFill="1" applyBorder="1" applyAlignment="1">
      <alignment horizontal="center" vertical="top"/>
    </xf>
    <xf numFmtId="43" fontId="17" fillId="5" borderId="4" xfId="0" applyNumberFormat="1" applyFont="1" applyFill="1" applyBorder="1" applyAlignment="1">
      <alignment horizontal="center" vertical="top"/>
    </xf>
    <xf numFmtId="43" fontId="17" fillId="5" borderId="5" xfId="1" applyFont="1" applyFill="1" applyBorder="1" applyAlignment="1">
      <alignment horizontal="right" vertical="top"/>
    </xf>
    <xf numFmtId="43" fontId="17" fillId="5" borderId="4" xfId="1" applyFont="1" applyFill="1" applyBorder="1" applyAlignment="1">
      <alignment horizontal="right" vertical="top"/>
    </xf>
    <xf numFmtId="0" fontId="18" fillId="5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43" fontId="17" fillId="7" borderId="5" xfId="0" applyNumberFormat="1" applyFont="1" applyFill="1" applyBorder="1" applyAlignment="1">
      <alignment horizontal="center" vertical="top"/>
    </xf>
    <xf numFmtId="43" fontId="17" fillId="7" borderId="4" xfId="0" applyNumberFormat="1" applyFont="1" applyFill="1" applyBorder="1" applyAlignment="1">
      <alignment horizontal="center" vertical="top"/>
    </xf>
    <xf numFmtId="0" fontId="9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top"/>
    </xf>
    <xf numFmtId="167" fontId="9" fillId="5" borderId="1" xfId="0" applyNumberFormat="1" applyFont="1" applyFill="1" applyBorder="1" applyAlignment="1">
      <alignment horizontal="center" vertical="center"/>
    </xf>
    <xf numFmtId="43" fontId="17" fillId="5" borderId="1" xfId="0" applyNumberFormat="1" applyFont="1" applyFill="1" applyBorder="1" applyAlignment="1">
      <alignment vertical="top"/>
    </xf>
    <xf numFmtId="0" fontId="17" fillId="5" borderId="1" xfId="0" applyFont="1" applyFill="1" applyBorder="1" applyAlignment="1">
      <alignment vertical="top"/>
    </xf>
    <xf numFmtId="167" fontId="9" fillId="7" borderId="2" xfId="0" applyNumberFormat="1" applyFont="1" applyFill="1" applyBorder="1" applyAlignment="1">
      <alignment horizontal="center" vertical="center"/>
    </xf>
    <xf numFmtId="43" fontId="17" fillId="7" borderId="2" xfId="0" applyNumberFormat="1" applyFont="1" applyFill="1" applyBorder="1" applyAlignment="1">
      <alignment vertical="top"/>
    </xf>
    <xf numFmtId="0" fontId="17" fillId="7" borderId="2" xfId="0" applyFont="1" applyFill="1" applyBorder="1" applyAlignment="1">
      <alignment vertical="top"/>
    </xf>
    <xf numFmtId="43" fontId="17" fillId="17" borderId="1" xfId="0" applyNumberFormat="1" applyFont="1" applyFill="1" applyBorder="1" applyAlignment="1">
      <alignment horizontal="center" vertical="top"/>
    </xf>
    <xf numFmtId="43" fontId="17" fillId="7" borderId="9" xfId="0" applyNumberFormat="1" applyFont="1" applyFill="1" applyBorder="1" applyAlignment="1">
      <alignment horizontal="center" vertical="top"/>
    </xf>
    <xf numFmtId="43" fontId="17" fillId="7" borderId="8" xfId="0" applyNumberFormat="1" applyFont="1" applyFill="1" applyBorder="1" applyAlignment="1">
      <alignment horizontal="center" vertical="top"/>
    </xf>
    <xf numFmtId="169" fontId="12" fillId="0" borderId="0" xfId="0" applyNumberFormat="1" applyFont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 wrapText="1"/>
    </xf>
    <xf numFmtId="0" fontId="9" fillId="5" borderId="15" xfId="0" applyFont="1" applyFill="1" applyBorder="1" applyAlignment="1">
      <alignment horizontal="center" vertical="top"/>
    </xf>
    <xf numFmtId="0" fontId="9" fillId="5" borderId="12" xfId="0" applyFont="1" applyFill="1" applyBorder="1" applyAlignment="1">
      <alignment horizontal="center" vertical="top"/>
    </xf>
    <xf numFmtId="43" fontId="18" fillId="5" borderId="1" xfId="1" applyFont="1" applyFill="1" applyBorder="1" applyAlignment="1">
      <alignment horizontal="center" vertical="top"/>
    </xf>
    <xf numFmtId="0" fontId="35" fillId="0" borderId="15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49" fontId="17" fillId="7" borderId="1" xfId="0" applyNumberFormat="1" applyFont="1" applyFill="1" applyBorder="1" applyAlignment="1">
      <alignment horizontal="center" vertical="center"/>
    </xf>
    <xf numFmtId="43" fontId="17" fillId="7" borderId="2" xfId="1" applyFont="1" applyFill="1" applyBorder="1" applyAlignment="1">
      <alignment horizontal="center" vertical="center" wrapText="1"/>
    </xf>
    <xf numFmtId="43" fontId="17" fillId="7" borderId="3" xfId="1" applyFont="1" applyFill="1" applyBorder="1" applyAlignment="1">
      <alignment horizontal="center" vertical="center" wrapText="1"/>
    </xf>
    <xf numFmtId="169" fontId="17" fillId="7" borderId="1" xfId="0" applyNumberFormat="1" applyFont="1" applyFill="1" applyBorder="1" applyAlignment="1">
      <alignment horizontal="center" vertical="center" wrapText="1"/>
    </xf>
    <xf numFmtId="169" fontId="17" fillId="7" borderId="1" xfId="0" applyNumberFormat="1" applyFont="1" applyFill="1" applyBorder="1" applyAlignment="1">
      <alignment horizontal="center" vertical="center"/>
    </xf>
    <xf numFmtId="167" fontId="17" fillId="7" borderId="1" xfId="0" applyNumberFormat="1" applyFont="1" applyFill="1" applyBorder="1" applyAlignment="1">
      <alignment horizontal="center" vertical="center"/>
    </xf>
    <xf numFmtId="43" fontId="17" fillId="7" borderId="1" xfId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43" fontId="17" fillId="7" borderId="1" xfId="1" applyFont="1" applyFill="1" applyBorder="1" applyAlignment="1">
      <alignment horizontal="center" vertical="center" wrapText="1"/>
    </xf>
    <xf numFmtId="43" fontId="26" fillId="5" borderId="5" xfId="1" applyFont="1" applyFill="1" applyBorder="1" applyAlignment="1">
      <alignment horizontal="center" vertical="center"/>
    </xf>
    <xf numFmtId="43" fontId="26" fillId="5" borderId="4" xfId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43" fontId="17" fillId="5" borderId="5" xfId="1" applyFont="1" applyFill="1" applyBorder="1" applyAlignment="1">
      <alignment horizontal="center" vertical="center"/>
    </xf>
    <xf numFmtId="43" fontId="17" fillId="5" borderId="4" xfId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5" xfId="0" applyFont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top" wrapText="1"/>
    </xf>
    <xf numFmtId="43" fontId="6" fillId="7" borderId="1" xfId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43" fontId="6" fillId="7" borderId="2" xfId="1" applyFont="1" applyFill="1" applyBorder="1" applyAlignment="1" applyProtection="1">
      <alignment horizontal="center" vertical="center"/>
    </xf>
    <xf numFmtId="43" fontId="6" fillId="7" borderId="3" xfId="1" applyFont="1" applyFill="1" applyBorder="1" applyAlignment="1" applyProtection="1">
      <alignment horizontal="center" vertical="center"/>
    </xf>
    <xf numFmtId="43" fontId="6" fillId="17" borderId="1" xfId="1" applyFont="1" applyFill="1" applyBorder="1" applyAlignment="1" applyProtection="1">
      <alignment horizontal="center" vertical="center"/>
    </xf>
    <xf numFmtId="43" fontId="6" fillId="5" borderId="2" xfId="1" applyFont="1" applyFill="1" applyBorder="1" applyAlignment="1" applyProtection="1">
      <alignment horizontal="center" vertical="center" wrapText="1"/>
    </xf>
    <xf numFmtId="43" fontId="6" fillId="5" borderId="3" xfId="1" applyFont="1" applyFill="1" applyBorder="1" applyAlignment="1" applyProtection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43" fontId="33" fillId="0" borderId="0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 applyProtection="1">
      <alignment horizontal="center" vertical="center"/>
    </xf>
    <xf numFmtId="17" fontId="6" fillId="0" borderId="4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43" fontId="6" fillId="17" borderId="2" xfId="1" applyFont="1" applyFill="1" applyBorder="1" applyAlignment="1" applyProtection="1">
      <alignment horizontal="center" vertical="center"/>
    </xf>
    <xf numFmtId="43" fontId="6" fillId="17" borderId="3" xfId="1" applyFont="1" applyFill="1" applyBorder="1" applyAlignment="1" applyProtection="1">
      <alignment horizontal="center" vertical="center"/>
    </xf>
    <xf numFmtId="43" fontId="36" fillId="0" borderId="0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43" fontId="6" fillId="7" borderId="2" xfId="1" applyFont="1" applyFill="1" applyBorder="1" applyAlignment="1" applyProtection="1">
      <alignment vertical="center"/>
    </xf>
    <xf numFmtId="43" fontId="6" fillId="7" borderId="3" xfId="1" applyFont="1" applyFill="1" applyBorder="1" applyAlignment="1" applyProtection="1">
      <alignment vertical="center"/>
    </xf>
    <xf numFmtId="0" fontId="6" fillId="5" borderId="7" xfId="0" applyFont="1" applyFill="1" applyBorder="1" applyAlignment="1">
      <alignment horizontal="center" vertical="center"/>
    </xf>
  </cellXfs>
  <cellStyles count="18">
    <cellStyle name="Comma" xfId="1" builtinId="3"/>
    <cellStyle name="Comma 2" xfId="14"/>
    <cellStyle name="Comma 2 2" xfId="15"/>
    <cellStyle name="Normal" xfId="0" builtinId="0"/>
    <cellStyle name="Normal 2" xfId="4"/>
    <cellStyle name="Normal 2 2" xfId="13"/>
    <cellStyle name="Normal 2 3" xfId="17"/>
    <cellStyle name="เครื่องหมายจุลภาค 2" xfId="3"/>
    <cellStyle name="เครื่องหมายจุลภาค 3" xfId="16"/>
    <cellStyle name="ปกติ 2" xfId="5"/>
    <cellStyle name="ปกติ 2 2" xfId="6"/>
    <cellStyle name="ปกติ 3" xfId="7"/>
    <cellStyle name="ปกติ 4" xfId="8"/>
    <cellStyle name="ปกติ 4 2" xfId="9"/>
    <cellStyle name="ปกติ 5" xfId="10"/>
    <cellStyle name="ปกติ 5 2" xfId="11"/>
    <cellStyle name="ปกติ 6" xfId="12"/>
    <cellStyle name="ปกติ_รายละเอียดงบรายจ่าย-รายการ" xfId="2"/>
  </cellStyles>
  <dxfs count="0"/>
  <tableStyles count="0" defaultTableStyle="TableStyleMedium2" defaultPivotStyle="PivotStyleLight16"/>
  <colors>
    <mruColors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158183</xdr:colOff>
      <xdr:row>0</xdr:row>
      <xdr:rowOff>71437</xdr:rowOff>
    </xdr:from>
    <xdr:to>
      <xdr:col>13</xdr:col>
      <xdr:colOff>3741965</xdr:colOff>
      <xdr:row>1</xdr:row>
      <xdr:rowOff>881062</xdr:rowOff>
    </xdr:to>
    <xdr:sp macro="" textlink="">
      <xdr:nvSpPr>
        <xdr:cNvPr id="2" name="TextBox 1"/>
        <xdr:cNvSpPr txBox="1"/>
      </xdr:nvSpPr>
      <xdr:spPr>
        <a:xfrm>
          <a:off x="16912658" y="71437"/>
          <a:ext cx="3583782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>
              <a:latin typeface="TH SarabunPSK" pitchFamily="34" charset="-34"/>
              <a:cs typeface="TH SarabunPSK" pitchFamily="34" charset="-34"/>
            </a:rPr>
            <a:t>วงเงิน</a:t>
          </a:r>
          <a:r>
            <a:rPr lang="th-TH" sz="1200" b="1">
              <a:latin typeface="TH SarabunPSK" pitchFamily="34" charset="-34"/>
              <a:cs typeface="TH SarabunPSK" pitchFamily="34" charset="-34"/>
            </a:rPr>
            <a:t>จัดสรร       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งบประมาณ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(งบจังหวัด)  259,768,300 บาท</a:t>
          </a:r>
        </a:p>
        <a:p>
          <a:r>
            <a:rPr lang="th-TH" sz="1200">
              <a:latin typeface="TH SarabunPSK" pitchFamily="34" charset="-34"/>
              <a:cs typeface="TH SarabunPSK" pitchFamily="34" charset="-34"/>
            </a:rPr>
            <a:t>                       งบประมาณ </a:t>
          </a:r>
          <a:r>
            <a:rPr lang="th-TH" sz="120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>
              <a:latin typeface="TH SarabunPSK" pitchFamily="34" charset="-34"/>
              <a:cs typeface="TH SarabunPSK" pitchFamily="34" charset="-34"/>
            </a:rPr>
            <a:t>(งบภาค)    190,741,900</a:t>
          </a:r>
          <a:r>
            <a:rPr lang="th-TH" sz="1200" baseline="0">
              <a:latin typeface="TH SarabunPSK" pitchFamily="34" charset="-34"/>
              <a:cs typeface="TH SarabunPSK" pitchFamily="34" charset="-34"/>
            </a:rPr>
            <a:t> บาท</a:t>
          </a:r>
          <a:endParaRPr lang="en-US" sz="1200" baseline="0">
            <a:latin typeface="TH SarabunPSK" pitchFamily="34" charset="-34"/>
            <a:cs typeface="TH SarabunPSK" pitchFamily="34" charset="-34"/>
          </a:endParaRPr>
        </a:p>
        <a:p>
          <a:r>
            <a:rPr lang="th-TH" sz="1200" b="1" baseline="0">
              <a:latin typeface="TH SarabunPSK" pitchFamily="34" charset="-34"/>
              <a:cs typeface="TH SarabunPSK" pitchFamily="34" charset="-34"/>
            </a:rPr>
            <a:t>                      รวมงบประมาณที่ได้รับจัดสรร 450,510,200  บาท</a:t>
          </a:r>
        </a:p>
        <a:p>
          <a:pPr algn="ctr"/>
          <a:r>
            <a:rPr lang="en-US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  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ข้อมูล ณ วันที่ 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28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 กันยายน 2561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75"/>
  <sheetViews>
    <sheetView view="pageBreakPreview" zoomScale="70" zoomScaleNormal="70" zoomScaleSheetLayoutView="70" workbookViewId="0">
      <pane ySplit="4" topLeftCell="A334" activePane="bottomLeft" state="frozen"/>
      <selection pane="bottomLeft" activeCell="K337" sqref="K337"/>
    </sheetView>
  </sheetViews>
  <sheetFormatPr defaultColWidth="9" defaultRowHeight="22.5"/>
  <cols>
    <col min="1" max="1" width="6" style="24" customWidth="1"/>
    <col min="2" max="2" width="61.85546875" style="19" customWidth="1"/>
    <col min="3" max="3" width="22.5703125" style="306" customWidth="1"/>
    <col min="4" max="4" width="18.85546875" style="25" bestFit="1" customWidth="1"/>
    <col min="5" max="5" width="10.42578125" style="322" bestFit="1" customWidth="1"/>
    <col min="6" max="6" width="12.140625" style="26" bestFit="1" customWidth="1"/>
    <col min="7" max="7" width="12.7109375" style="27" bestFit="1" customWidth="1"/>
    <col min="8" max="8" width="18.7109375" style="28" bestFit="1" customWidth="1"/>
    <col min="9" max="9" width="18.85546875" style="28" bestFit="1" customWidth="1"/>
    <col min="10" max="10" width="9.7109375" style="29" bestFit="1" customWidth="1"/>
    <col min="11" max="11" width="18.85546875" style="30" bestFit="1" customWidth="1"/>
    <col min="12" max="12" width="19.140625" style="353" bestFit="1" customWidth="1"/>
    <col min="13" max="13" width="17.7109375" style="353" bestFit="1" customWidth="1"/>
    <col min="14" max="14" width="75" style="7" customWidth="1"/>
    <col min="15" max="15" width="34.5703125" style="31" customWidth="1"/>
    <col min="16" max="16384" width="9" style="31"/>
  </cols>
  <sheetData>
    <row r="1" spans="1:14" ht="15.75" customHeight="1"/>
    <row r="2" spans="1:14" ht="70.5" customHeight="1">
      <c r="A2" s="743" t="s">
        <v>326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</row>
    <row r="3" spans="1:14" s="32" customFormat="1" ht="32.25" customHeight="1">
      <c r="A3" s="745" t="s">
        <v>48</v>
      </c>
      <c r="B3" s="746" t="s">
        <v>0</v>
      </c>
      <c r="C3" s="745" t="s">
        <v>1</v>
      </c>
      <c r="D3" s="747" t="s">
        <v>357</v>
      </c>
      <c r="E3" s="749" t="s">
        <v>167</v>
      </c>
      <c r="F3" s="751" t="s">
        <v>92</v>
      </c>
      <c r="G3" s="751"/>
      <c r="H3" s="752" t="s">
        <v>95</v>
      </c>
      <c r="I3" s="753" t="s">
        <v>96</v>
      </c>
      <c r="J3" s="753"/>
      <c r="K3" s="753"/>
      <c r="L3" s="754" t="s">
        <v>100</v>
      </c>
      <c r="M3" s="754" t="s">
        <v>101</v>
      </c>
      <c r="N3" s="746" t="s">
        <v>102</v>
      </c>
    </row>
    <row r="4" spans="1:14" s="32" customFormat="1" ht="32.25" customHeight="1">
      <c r="A4" s="745"/>
      <c r="B4" s="746"/>
      <c r="C4" s="745"/>
      <c r="D4" s="748"/>
      <c r="E4" s="750"/>
      <c r="F4" s="33" t="s">
        <v>93</v>
      </c>
      <c r="G4" s="33" t="s">
        <v>94</v>
      </c>
      <c r="H4" s="752"/>
      <c r="I4" s="34" t="s">
        <v>97</v>
      </c>
      <c r="J4" s="35" t="s">
        <v>98</v>
      </c>
      <c r="K4" s="36" t="s">
        <v>99</v>
      </c>
      <c r="L4" s="752"/>
      <c r="M4" s="752"/>
      <c r="N4" s="746"/>
    </row>
    <row r="5" spans="1:14" s="45" customFormat="1" ht="34.5">
      <c r="A5" s="37">
        <v>1</v>
      </c>
      <c r="B5" s="38" t="s">
        <v>6</v>
      </c>
      <c r="C5" s="92" t="s">
        <v>47</v>
      </c>
      <c r="D5" s="39">
        <f>D6+D7</f>
        <v>6930000</v>
      </c>
      <c r="E5" s="323" t="s">
        <v>257</v>
      </c>
      <c r="F5" s="40"/>
      <c r="G5" s="41"/>
      <c r="H5" s="42"/>
      <c r="I5" s="42">
        <f>I6+I7</f>
        <v>195000</v>
      </c>
      <c r="J5" s="53">
        <f>I5*100/D5</f>
        <v>2.8138528138528138</v>
      </c>
      <c r="K5" s="39">
        <f>D5-I5</f>
        <v>6735000</v>
      </c>
      <c r="L5" s="44"/>
      <c r="M5" s="44"/>
      <c r="N5" s="8"/>
    </row>
    <row r="6" spans="1:14" s="55" customFormat="1">
      <c r="A6" s="46"/>
      <c r="B6" s="47" t="s">
        <v>2</v>
      </c>
      <c r="C6" s="48"/>
      <c r="D6" s="49">
        <v>195000</v>
      </c>
      <c r="E6" s="324"/>
      <c r="F6" s="50">
        <v>241614</v>
      </c>
      <c r="G6" s="96">
        <v>241674</v>
      </c>
      <c r="H6" s="52">
        <v>195000</v>
      </c>
      <c r="I6" s="52">
        <v>195000</v>
      </c>
      <c r="J6" s="53">
        <f>I6*100/D6</f>
        <v>100</v>
      </c>
      <c r="K6" s="54">
        <f>D6-I6</f>
        <v>0</v>
      </c>
      <c r="L6" s="576"/>
      <c r="M6" s="576"/>
      <c r="N6" s="9" t="s">
        <v>136</v>
      </c>
    </row>
    <row r="7" spans="1:14" s="55" customFormat="1">
      <c r="A7" s="46"/>
      <c r="B7" s="56" t="s">
        <v>3</v>
      </c>
      <c r="C7" s="48"/>
      <c r="D7" s="49">
        <v>6735000</v>
      </c>
      <c r="E7" s="324"/>
      <c r="F7" s="50">
        <v>241550</v>
      </c>
      <c r="G7" s="96">
        <v>22554</v>
      </c>
      <c r="H7" s="52">
        <v>6550000</v>
      </c>
      <c r="I7" s="52"/>
      <c r="J7" s="53">
        <f>I7*100/D7</f>
        <v>0</v>
      </c>
      <c r="K7" s="54">
        <f>H7-I7</f>
        <v>6550000</v>
      </c>
      <c r="L7" s="576"/>
      <c r="M7" s="68">
        <f>D7-H7</f>
        <v>185000</v>
      </c>
      <c r="N7" s="9"/>
    </row>
    <row r="8" spans="1:14" ht="112.5">
      <c r="A8" s="57"/>
      <c r="B8" s="16" t="s">
        <v>327</v>
      </c>
      <c r="C8" s="58"/>
      <c r="D8" s="59"/>
      <c r="E8" s="325"/>
      <c r="F8" s="60"/>
      <c r="G8" s="61"/>
      <c r="H8" s="62"/>
      <c r="I8" s="62"/>
      <c r="J8" s="63"/>
      <c r="K8" s="64"/>
      <c r="L8" s="139"/>
      <c r="M8" s="139"/>
      <c r="N8" s="16" t="s">
        <v>618</v>
      </c>
    </row>
    <row r="9" spans="1:14" s="45" customFormat="1" ht="34.5">
      <c r="A9" s="37">
        <v>2</v>
      </c>
      <c r="B9" s="65" t="s">
        <v>11</v>
      </c>
      <c r="C9" s="92" t="s">
        <v>47</v>
      </c>
      <c r="D9" s="66"/>
      <c r="E9" s="323" t="s">
        <v>260</v>
      </c>
      <c r="F9" s="40"/>
      <c r="G9" s="41"/>
      <c r="H9" s="42"/>
      <c r="I9" s="42"/>
      <c r="J9" s="43"/>
      <c r="K9" s="39"/>
      <c r="L9" s="44"/>
      <c r="M9" s="44"/>
      <c r="N9" s="8" t="s">
        <v>136</v>
      </c>
    </row>
    <row r="10" spans="1:14" s="45" customFormat="1">
      <c r="A10" s="46"/>
      <c r="B10" s="47" t="s">
        <v>2</v>
      </c>
      <c r="C10" s="48"/>
      <c r="D10" s="67">
        <v>10000000</v>
      </c>
      <c r="E10" s="324"/>
      <c r="F10" s="50"/>
      <c r="G10" s="51"/>
      <c r="H10" s="52"/>
      <c r="I10" s="52">
        <v>9910524</v>
      </c>
      <c r="J10" s="53">
        <f>I10*100/I10</f>
        <v>100</v>
      </c>
      <c r="K10" s="54">
        <f>I10-I10</f>
        <v>0</v>
      </c>
      <c r="L10" s="68">
        <v>89476</v>
      </c>
      <c r="M10" s="576"/>
      <c r="N10" s="9"/>
    </row>
    <row r="11" spans="1:14" s="55" customFormat="1" ht="45">
      <c r="A11" s="69">
        <v>3</v>
      </c>
      <c r="B11" s="70" t="s">
        <v>425</v>
      </c>
      <c r="C11" s="130" t="s">
        <v>47</v>
      </c>
      <c r="D11" s="71"/>
      <c r="E11" s="326" t="s">
        <v>293</v>
      </c>
      <c r="F11" s="72"/>
      <c r="G11" s="72"/>
      <c r="H11" s="73"/>
      <c r="I11" s="73"/>
      <c r="J11" s="74"/>
      <c r="K11" s="75"/>
      <c r="L11" s="76"/>
      <c r="M11" s="76"/>
      <c r="N11" s="8" t="s">
        <v>136</v>
      </c>
    </row>
    <row r="12" spans="1:14" s="55" customFormat="1">
      <c r="A12" s="77"/>
      <c r="B12" s="78" t="s">
        <v>2</v>
      </c>
      <c r="C12" s="79"/>
      <c r="D12" s="80">
        <v>1633000</v>
      </c>
      <c r="E12" s="327"/>
      <c r="F12" s="81"/>
      <c r="G12" s="82"/>
      <c r="H12" s="83"/>
      <c r="I12" s="83">
        <v>1630107.21</v>
      </c>
      <c r="J12" s="84">
        <f>I12*100/I12</f>
        <v>100</v>
      </c>
      <c r="K12" s="85">
        <f>D12-I12-L12</f>
        <v>0</v>
      </c>
      <c r="L12" s="137">
        <v>2892.7900000000373</v>
      </c>
      <c r="M12" s="86"/>
      <c r="N12" s="8"/>
    </row>
    <row r="13" spans="1:14" ht="34.5">
      <c r="A13" s="37">
        <v>4</v>
      </c>
      <c r="B13" s="65" t="s">
        <v>8</v>
      </c>
      <c r="C13" s="87" t="s">
        <v>174</v>
      </c>
      <c r="D13" s="66"/>
      <c r="E13" s="323" t="s">
        <v>261</v>
      </c>
      <c r="F13" s="40"/>
      <c r="G13" s="88"/>
      <c r="H13" s="42"/>
      <c r="I13" s="42"/>
      <c r="J13" s="43"/>
      <c r="K13" s="39"/>
      <c r="L13" s="44"/>
      <c r="M13" s="44"/>
      <c r="N13" s="8" t="s">
        <v>136</v>
      </c>
    </row>
    <row r="14" spans="1:14" s="91" customFormat="1">
      <c r="A14" s="46"/>
      <c r="B14" s="47" t="s">
        <v>2</v>
      </c>
      <c r="C14" s="48"/>
      <c r="D14" s="49">
        <v>3600000</v>
      </c>
      <c r="E14" s="328"/>
      <c r="F14" s="89">
        <v>241498</v>
      </c>
      <c r="G14" s="89">
        <v>241558</v>
      </c>
      <c r="H14" s="90">
        <v>3556680</v>
      </c>
      <c r="I14" s="577">
        <v>3556680</v>
      </c>
      <c r="J14" s="53">
        <f>I14*100/I14</f>
        <v>100</v>
      </c>
      <c r="K14" s="54">
        <f>H14-I14</f>
        <v>0</v>
      </c>
      <c r="L14" s="575">
        <f>D14-H14</f>
        <v>43320</v>
      </c>
      <c r="M14" s="576"/>
      <c r="N14" s="8"/>
    </row>
    <row r="15" spans="1:14" s="91" customFormat="1" ht="34.5">
      <c r="A15" s="92">
        <v>5</v>
      </c>
      <c r="B15" s="65" t="s">
        <v>12</v>
      </c>
      <c r="C15" s="87" t="s">
        <v>174</v>
      </c>
      <c r="D15" s="93"/>
      <c r="E15" s="323" t="s">
        <v>271</v>
      </c>
      <c r="F15" s="94"/>
      <c r="G15" s="41"/>
      <c r="H15" s="95"/>
      <c r="I15" s="95"/>
      <c r="J15" s="43"/>
      <c r="K15" s="39"/>
      <c r="L15" s="44"/>
      <c r="M15" s="44"/>
      <c r="N15" s="8"/>
    </row>
    <row r="16" spans="1:14" s="91" customFormat="1" ht="45">
      <c r="A16" s="46"/>
      <c r="B16" s="47" t="s">
        <v>2</v>
      </c>
      <c r="C16" s="48"/>
      <c r="D16" s="67">
        <v>6030000</v>
      </c>
      <c r="E16" s="328"/>
      <c r="F16" s="96"/>
      <c r="G16" s="51"/>
      <c r="H16" s="577"/>
      <c r="I16" s="577">
        <v>3380000</v>
      </c>
      <c r="J16" s="53">
        <f>I16*100/D16</f>
        <v>56.053067993366504</v>
      </c>
      <c r="K16" s="54">
        <f>D16-I16-L16</f>
        <v>2550000</v>
      </c>
      <c r="L16" s="68">
        <v>100000</v>
      </c>
      <c r="M16" s="576"/>
      <c r="N16" s="8" t="s">
        <v>637</v>
      </c>
    </row>
    <row r="17" spans="1:14" s="99" customFormat="1" ht="45">
      <c r="A17" s="37">
        <v>6</v>
      </c>
      <c r="B17" s="97" t="s">
        <v>139</v>
      </c>
      <c r="C17" s="87" t="s">
        <v>174</v>
      </c>
      <c r="D17" s="98"/>
      <c r="E17" s="323" t="s">
        <v>261</v>
      </c>
      <c r="F17" s="40"/>
      <c r="G17" s="88"/>
      <c r="H17" s="42"/>
      <c r="I17" s="42"/>
      <c r="J17" s="43"/>
      <c r="K17" s="39"/>
      <c r="L17" s="44"/>
      <c r="M17" s="44"/>
      <c r="N17" s="10" t="s">
        <v>136</v>
      </c>
    </row>
    <row r="18" spans="1:14" s="91" customFormat="1">
      <c r="A18" s="46"/>
      <c r="B18" s="47" t="s">
        <v>2</v>
      </c>
      <c r="C18" s="48"/>
      <c r="D18" s="67">
        <v>5000000</v>
      </c>
      <c r="E18" s="328"/>
      <c r="F18" s="96">
        <v>22347</v>
      </c>
      <c r="G18" s="96">
        <v>22528</v>
      </c>
      <c r="H18" s="577">
        <v>4900000</v>
      </c>
      <c r="I18" s="641">
        <v>4900000</v>
      </c>
      <c r="J18" s="53">
        <f>I18*100/I18</f>
        <v>100</v>
      </c>
      <c r="K18" s="54">
        <f>H18-I18</f>
        <v>0</v>
      </c>
      <c r="L18" s="575">
        <f>D18-H18</f>
        <v>100000</v>
      </c>
      <c r="M18" s="576"/>
      <c r="N18" s="14"/>
    </row>
    <row r="19" spans="1:14" ht="45">
      <c r="A19" s="37">
        <v>7</v>
      </c>
      <c r="B19" s="100" t="s">
        <v>89</v>
      </c>
      <c r="C19" s="92"/>
      <c r="D19" s="101">
        <f>D20</f>
        <v>17850000</v>
      </c>
      <c r="E19" s="323"/>
      <c r="F19" s="40"/>
      <c r="G19" s="94"/>
      <c r="H19" s="92"/>
      <c r="I19" s="532">
        <f>I20</f>
        <v>13197580</v>
      </c>
      <c r="J19" s="102">
        <f t="shared" ref="J19:J26" si="0">I19*100/D19</f>
        <v>73.936022408963581</v>
      </c>
      <c r="K19" s="103">
        <f>D19-I19-752420</f>
        <v>3900000</v>
      </c>
      <c r="L19" s="354"/>
      <c r="M19" s="354"/>
      <c r="N19" s="10"/>
    </row>
    <row r="20" spans="1:14" s="112" customFormat="1">
      <c r="A20" s="104"/>
      <c r="B20" s="105" t="s">
        <v>2</v>
      </c>
      <c r="C20" s="106"/>
      <c r="D20" s="107">
        <f>D24+D21+D22+D23+D25</f>
        <v>17850000</v>
      </c>
      <c r="E20" s="329"/>
      <c r="F20" s="108"/>
      <c r="G20" s="109"/>
      <c r="H20" s="106"/>
      <c r="I20" s="111">
        <f>I22+I21+I23+I24+I25+I26</f>
        <v>13197580</v>
      </c>
      <c r="J20" s="110">
        <f t="shared" si="0"/>
        <v>73.936022408963581</v>
      </c>
      <c r="K20" s="111">
        <f>D20-I20-752420</f>
        <v>3900000</v>
      </c>
      <c r="L20" s="355"/>
      <c r="M20" s="355"/>
      <c r="N20" s="11"/>
    </row>
    <row r="21" spans="1:14" s="91" customFormat="1" ht="34.5">
      <c r="A21" s="57"/>
      <c r="B21" s="8" t="s">
        <v>491</v>
      </c>
      <c r="C21" s="204" t="s">
        <v>88</v>
      </c>
      <c r="D21" s="123">
        <v>1050000</v>
      </c>
      <c r="E21" s="325" t="s">
        <v>596</v>
      </c>
      <c r="F21" s="124"/>
      <c r="G21" s="125"/>
      <c r="H21" s="122"/>
      <c r="I21" s="122"/>
      <c r="J21" s="126">
        <f t="shared" si="0"/>
        <v>0</v>
      </c>
      <c r="K21" s="126">
        <f t="shared" ref="K21:K26" si="1">D21-I21</f>
        <v>1050000</v>
      </c>
      <c r="L21" s="127"/>
      <c r="M21" s="127"/>
      <c r="N21" s="13" t="s">
        <v>617</v>
      </c>
    </row>
    <row r="22" spans="1:14" s="91" customFormat="1" ht="45">
      <c r="A22" s="57"/>
      <c r="B22" s="8" t="s">
        <v>492</v>
      </c>
      <c r="C22" s="204" t="s">
        <v>10</v>
      </c>
      <c r="D22" s="123">
        <v>2400000</v>
      </c>
      <c r="E22" s="325" t="s">
        <v>274</v>
      </c>
      <c r="F22" s="124"/>
      <c r="G22" s="125"/>
      <c r="H22" s="122"/>
      <c r="I22" s="140">
        <v>2390000</v>
      </c>
      <c r="J22" s="126">
        <f>I22*100/I22</f>
        <v>100</v>
      </c>
      <c r="K22" s="126">
        <f>D22-I22-L22</f>
        <v>0</v>
      </c>
      <c r="L22" s="64">
        <v>10000</v>
      </c>
      <c r="M22" s="127"/>
      <c r="N22" s="10" t="s">
        <v>136</v>
      </c>
    </row>
    <row r="23" spans="1:14" s="91" customFormat="1" ht="39" customHeight="1">
      <c r="A23" s="57"/>
      <c r="B23" s="8" t="s">
        <v>493</v>
      </c>
      <c r="C23" s="204" t="s">
        <v>10</v>
      </c>
      <c r="D23" s="123">
        <v>9400000</v>
      </c>
      <c r="E23" s="325" t="s">
        <v>274</v>
      </c>
      <c r="F23" s="124"/>
      <c r="G23" s="125"/>
      <c r="H23" s="122"/>
      <c r="I23" s="571">
        <v>8812580</v>
      </c>
      <c r="J23" s="126">
        <f>I23*100/I23</f>
        <v>100</v>
      </c>
      <c r="K23" s="126">
        <f>D23-I23-L23</f>
        <v>0</v>
      </c>
      <c r="L23" s="64">
        <v>587420</v>
      </c>
      <c r="M23" s="127"/>
      <c r="N23" s="9" t="s">
        <v>136</v>
      </c>
    </row>
    <row r="24" spans="1:14" s="91" customFormat="1" ht="45">
      <c r="A24" s="57"/>
      <c r="B24" s="8" t="s">
        <v>494</v>
      </c>
      <c r="C24" s="204" t="s">
        <v>10</v>
      </c>
      <c r="D24" s="123">
        <v>3000000</v>
      </c>
      <c r="E24" s="325" t="s">
        <v>541</v>
      </c>
      <c r="F24" s="124"/>
      <c r="G24" s="125"/>
      <c r="H24" s="122"/>
      <c r="I24" s="122"/>
      <c r="J24" s="126">
        <f t="shared" si="0"/>
        <v>0</v>
      </c>
      <c r="K24" s="126">
        <f>D24-I24-L24</f>
        <v>2850000</v>
      </c>
      <c r="L24" s="64">
        <v>150000</v>
      </c>
      <c r="M24" s="127"/>
      <c r="N24" s="13" t="s">
        <v>616</v>
      </c>
    </row>
    <row r="25" spans="1:14" s="91" customFormat="1" ht="45">
      <c r="A25" s="57"/>
      <c r="B25" s="8" t="s">
        <v>601</v>
      </c>
      <c r="C25" s="204" t="s">
        <v>65</v>
      </c>
      <c r="D25" s="123">
        <v>2000000</v>
      </c>
      <c r="E25" s="325" t="s">
        <v>557</v>
      </c>
      <c r="F25" s="124"/>
      <c r="G25" s="125"/>
      <c r="H25" s="122"/>
      <c r="I25" s="140">
        <v>1995000</v>
      </c>
      <c r="J25" s="126">
        <f>I25*100/I25</f>
        <v>100</v>
      </c>
      <c r="K25" s="126">
        <f>I25-I25</f>
        <v>0</v>
      </c>
      <c r="L25" s="252">
        <v>5000</v>
      </c>
      <c r="M25" s="127"/>
      <c r="N25" s="9" t="s">
        <v>136</v>
      </c>
    </row>
    <row r="26" spans="1:14" s="593" customFormat="1" ht="45" hidden="1">
      <c r="A26" s="582"/>
      <c r="B26" s="583" t="s">
        <v>560</v>
      </c>
      <c r="C26" s="584" t="s">
        <v>490</v>
      </c>
      <c r="D26" s="585">
        <v>-90000</v>
      </c>
      <c r="E26" s="586"/>
      <c r="F26" s="587"/>
      <c r="G26" s="588"/>
      <c r="H26" s="589"/>
      <c r="I26" s="589"/>
      <c r="J26" s="590">
        <f t="shared" si="0"/>
        <v>0</v>
      </c>
      <c r="K26" s="590">
        <f t="shared" si="1"/>
        <v>-90000</v>
      </c>
      <c r="L26" s="591"/>
      <c r="M26" s="591"/>
      <c r="N26" s="592" t="s">
        <v>544</v>
      </c>
    </row>
    <row r="27" spans="1:14" s="55" customFormat="1" ht="34.5">
      <c r="A27" s="37">
        <v>8</v>
      </c>
      <c r="B27" s="38" t="s">
        <v>35</v>
      </c>
      <c r="C27" s="92" t="s">
        <v>37</v>
      </c>
      <c r="D27" s="39"/>
      <c r="E27" s="323" t="s">
        <v>265</v>
      </c>
      <c r="F27" s="94"/>
      <c r="G27" s="41"/>
      <c r="H27" s="95"/>
      <c r="I27" s="95"/>
      <c r="J27" s="43"/>
      <c r="K27" s="39"/>
      <c r="L27" s="44"/>
      <c r="M27" s="44"/>
      <c r="N27" s="9" t="s">
        <v>136</v>
      </c>
    </row>
    <row r="28" spans="1:14" s="55" customFormat="1">
      <c r="A28" s="46"/>
      <c r="B28" s="47" t="s">
        <v>2</v>
      </c>
      <c r="C28" s="48"/>
      <c r="D28" s="67">
        <v>1500000</v>
      </c>
      <c r="E28" s="332"/>
      <c r="F28" s="89"/>
      <c r="G28" s="51"/>
      <c r="H28" s="90"/>
      <c r="I28" s="90">
        <v>1425446.23</v>
      </c>
      <c r="J28" s="128">
        <f>I28*100/I28</f>
        <v>100</v>
      </c>
      <c r="K28" s="54">
        <f>D28-I28-L28</f>
        <v>0</v>
      </c>
      <c r="L28" s="68">
        <v>74553.77</v>
      </c>
      <c r="M28" s="576"/>
      <c r="N28" s="9"/>
    </row>
    <row r="29" spans="1:14" s="55" customFormat="1" ht="45">
      <c r="A29" s="69">
        <v>9</v>
      </c>
      <c r="B29" s="129" t="s">
        <v>239</v>
      </c>
      <c r="C29" s="130" t="s">
        <v>228</v>
      </c>
      <c r="D29" s="75"/>
      <c r="E29" s="333" t="s">
        <v>324</v>
      </c>
      <c r="F29" s="131"/>
      <c r="G29" s="72"/>
      <c r="H29" s="73"/>
      <c r="I29" s="73"/>
      <c r="J29" s="74"/>
      <c r="K29" s="75"/>
      <c r="L29" s="76"/>
      <c r="M29" s="76"/>
      <c r="N29" s="9" t="s">
        <v>136</v>
      </c>
    </row>
    <row r="30" spans="1:14" s="55" customFormat="1">
      <c r="A30" s="77"/>
      <c r="B30" s="78" t="s">
        <v>2</v>
      </c>
      <c r="C30" s="79"/>
      <c r="D30" s="80">
        <v>500000</v>
      </c>
      <c r="E30" s="334"/>
      <c r="F30" s="132">
        <v>241597</v>
      </c>
      <c r="G30" s="132">
        <v>241653</v>
      </c>
      <c r="H30" s="133">
        <v>495000</v>
      </c>
      <c r="I30" s="133">
        <v>495000</v>
      </c>
      <c r="J30" s="134">
        <f>I30*100/I30</f>
        <v>100</v>
      </c>
      <c r="K30" s="85">
        <f>H30-I30</f>
        <v>0</v>
      </c>
      <c r="L30" s="528">
        <v>5000</v>
      </c>
      <c r="M30" s="86"/>
      <c r="N30" s="9"/>
    </row>
    <row r="31" spans="1:14" s="55" customFormat="1" ht="34.5">
      <c r="A31" s="69">
        <v>10</v>
      </c>
      <c r="B31" s="129" t="s">
        <v>133</v>
      </c>
      <c r="C31" s="130" t="s">
        <v>228</v>
      </c>
      <c r="D31" s="75"/>
      <c r="E31" s="333" t="s">
        <v>281</v>
      </c>
      <c r="F31" s="131"/>
      <c r="G31" s="72"/>
      <c r="H31" s="73"/>
      <c r="I31" s="73"/>
      <c r="J31" s="74"/>
      <c r="K31" s="75"/>
      <c r="L31" s="76"/>
      <c r="M31" s="76"/>
      <c r="N31" s="380"/>
    </row>
    <row r="32" spans="1:14" s="55" customFormat="1">
      <c r="A32" s="77"/>
      <c r="B32" s="78" t="s">
        <v>2</v>
      </c>
      <c r="C32" s="79"/>
      <c r="D32" s="80">
        <v>450000</v>
      </c>
      <c r="E32" s="334"/>
      <c r="F32" s="132">
        <v>241543</v>
      </c>
      <c r="G32" s="132">
        <v>241663</v>
      </c>
      <c r="H32" s="133">
        <v>450000</v>
      </c>
      <c r="I32" s="135">
        <v>450000</v>
      </c>
      <c r="J32" s="136">
        <f>I32*100/D32</f>
        <v>100</v>
      </c>
      <c r="K32" s="137">
        <f>D32-I32</f>
        <v>0</v>
      </c>
      <c r="L32" s="86"/>
      <c r="M32" s="86"/>
      <c r="N32" s="9" t="s">
        <v>136</v>
      </c>
    </row>
    <row r="33" spans="1:14" s="55" customFormat="1" ht="45">
      <c r="A33" s="69">
        <v>11</v>
      </c>
      <c r="B33" s="129" t="s">
        <v>225</v>
      </c>
      <c r="C33" s="130" t="s">
        <v>323</v>
      </c>
      <c r="D33" s="75"/>
      <c r="E33" s="333" t="s">
        <v>311</v>
      </c>
      <c r="F33" s="131"/>
      <c r="G33" s="72"/>
      <c r="H33" s="73"/>
      <c r="I33" s="73"/>
      <c r="J33" s="74"/>
      <c r="K33" s="75"/>
      <c r="L33" s="76"/>
      <c r="M33" s="76"/>
      <c r="N33" s="9" t="s">
        <v>136</v>
      </c>
    </row>
    <row r="34" spans="1:14" s="55" customFormat="1">
      <c r="A34" s="77"/>
      <c r="B34" s="78" t="s">
        <v>2</v>
      </c>
      <c r="C34" s="79"/>
      <c r="D34" s="80">
        <v>1000000</v>
      </c>
      <c r="E34" s="334"/>
      <c r="F34" s="132"/>
      <c r="G34" s="82"/>
      <c r="H34" s="133"/>
      <c r="I34" s="133">
        <v>758224.46</v>
      </c>
      <c r="J34" s="134">
        <f>I34*100/I34</f>
        <v>100</v>
      </c>
      <c r="K34" s="85">
        <f>D34-I34-L34</f>
        <v>0</v>
      </c>
      <c r="L34" s="137">
        <v>241775.54000000004</v>
      </c>
      <c r="M34" s="86"/>
      <c r="N34" s="9"/>
    </row>
    <row r="35" spans="1:14" s="91" customFormat="1" ht="45">
      <c r="A35" s="37">
        <v>12</v>
      </c>
      <c r="B35" s="65" t="s">
        <v>138</v>
      </c>
      <c r="C35" s="87" t="s">
        <v>112</v>
      </c>
      <c r="D35" s="66"/>
      <c r="E35" s="323" t="s">
        <v>285</v>
      </c>
      <c r="F35" s="94"/>
      <c r="G35" s="41"/>
      <c r="H35" s="95"/>
      <c r="I35" s="95"/>
      <c r="J35" s="43"/>
      <c r="K35" s="39"/>
      <c r="L35" s="44"/>
      <c r="M35" s="44"/>
      <c r="N35" s="16" t="s">
        <v>625</v>
      </c>
    </row>
    <row r="36" spans="1:14" s="91" customFormat="1">
      <c r="A36" s="46"/>
      <c r="B36" s="47" t="s">
        <v>2</v>
      </c>
      <c r="C36" s="48"/>
      <c r="D36" s="67">
        <v>4000000</v>
      </c>
      <c r="E36" s="328"/>
      <c r="F36" s="96"/>
      <c r="G36" s="51"/>
      <c r="H36" s="577"/>
      <c r="I36" s="577">
        <v>1950000</v>
      </c>
      <c r="J36" s="53">
        <f>I36*100/D36</f>
        <v>48.75</v>
      </c>
      <c r="K36" s="54">
        <f>D36-I36-L36</f>
        <v>1990000</v>
      </c>
      <c r="L36" s="578">
        <v>60000</v>
      </c>
      <c r="M36" s="576"/>
    </row>
    <row r="37" spans="1:14" s="55" customFormat="1" ht="45">
      <c r="A37" s="69">
        <v>13</v>
      </c>
      <c r="B37" s="129" t="s">
        <v>586</v>
      </c>
      <c r="C37" s="130" t="s">
        <v>566</v>
      </c>
      <c r="D37" s="75"/>
      <c r="E37" s="333" t="s">
        <v>597</v>
      </c>
      <c r="F37" s="131"/>
      <c r="G37" s="72"/>
      <c r="H37" s="73"/>
      <c r="I37" s="73"/>
      <c r="J37" s="74"/>
      <c r="K37" s="75"/>
      <c r="L37" s="76"/>
      <c r="M37" s="76"/>
      <c r="N37" s="8" t="s">
        <v>136</v>
      </c>
    </row>
    <row r="38" spans="1:14" s="55" customFormat="1">
      <c r="A38" s="77"/>
      <c r="B38" s="78" t="s">
        <v>2</v>
      </c>
      <c r="C38" s="79"/>
      <c r="D38" s="80">
        <v>350000</v>
      </c>
      <c r="E38" s="334"/>
      <c r="F38" s="132"/>
      <c r="G38" s="82"/>
      <c r="H38" s="133"/>
      <c r="I38" s="133">
        <v>350000</v>
      </c>
      <c r="J38" s="134">
        <f>I38*100/D38</f>
        <v>100</v>
      </c>
      <c r="K38" s="85">
        <f>D38-I38</f>
        <v>0</v>
      </c>
      <c r="L38" s="86"/>
      <c r="M38" s="86"/>
      <c r="N38" s="9"/>
    </row>
    <row r="39" spans="1:14" s="45" customFormat="1" ht="45">
      <c r="A39" s="37">
        <v>14</v>
      </c>
      <c r="B39" s="65" t="s">
        <v>9</v>
      </c>
      <c r="C39" s="87" t="s">
        <v>259</v>
      </c>
      <c r="D39" s="98"/>
      <c r="E39" s="323" t="s">
        <v>262</v>
      </c>
      <c r="F39" s="40"/>
      <c r="G39" s="41"/>
      <c r="H39" s="42"/>
      <c r="I39" s="42"/>
      <c r="J39" s="43"/>
      <c r="K39" s="39"/>
      <c r="L39" s="44"/>
      <c r="M39" s="44"/>
      <c r="N39" s="8" t="s">
        <v>136</v>
      </c>
    </row>
    <row r="40" spans="1:14" s="45" customFormat="1" ht="24.75" customHeight="1">
      <c r="A40" s="46"/>
      <c r="B40" s="47" t="s">
        <v>2</v>
      </c>
      <c r="C40" s="48"/>
      <c r="D40" s="67">
        <v>10000000</v>
      </c>
      <c r="E40" s="324"/>
      <c r="F40" s="50"/>
      <c r="G40" s="51"/>
      <c r="H40" s="52"/>
      <c r="I40" s="52">
        <v>4018800</v>
      </c>
      <c r="J40" s="53">
        <f>I40*100/I40</f>
        <v>100</v>
      </c>
      <c r="K40" s="54">
        <f>D40-I40-L40</f>
        <v>0</v>
      </c>
      <c r="L40" s="68">
        <v>5981200</v>
      </c>
      <c r="M40" s="581"/>
      <c r="N40" s="9"/>
    </row>
    <row r="41" spans="1:14" s="45" customFormat="1" ht="90" hidden="1">
      <c r="A41" s="57"/>
      <c r="B41" s="16" t="s">
        <v>328</v>
      </c>
      <c r="C41" s="58"/>
      <c r="D41" s="59"/>
      <c r="E41" s="325"/>
      <c r="F41" s="60"/>
      <c r="G41" s="138"/>
      <c r="H41" s="62"/>
      <c r="I41" s="62"/>
      <c r="J41" s="63"/>
      <c r="K41" s="64"/>
      <c r="L41" s="139"/>
      <c r="M41" s="139"/>
      <c r="N41" s="9"/>
    </row>
    <row r="42" spans="1:14" ht="67.5" hidden="1">
      <c r="A42" s="57"/>
      <c r="B42" s="16" t="s">
        <v>103</v>
      </c>
      <c r="C42" s="58" t="s">
        <v>104</v>
      </c>
      <c r="D42" s="59"/>
      <c r="E42" s="325"/>
      <c r="F42" s="60"/>
      <c r="G42" s="61"/>
      <c r="H42" s="62"/>
      <c r="I42" s="62"/>
      <c r="J42" s="63"/>
      <c r="K42" s="64"/>
      <c r="L42" s="139"/>
      <c r="M42" s="139"/>
      <c r="N42" s="9"/>
    </row>
    <row r="43" spans="1:14" s="99" customFormat="1" ht="67.5" hidden="1">
      <c r="A43" s="57"/>
      <c r="B43" s="16" t="s">
        <v>107</v>
      </c>
      <c r="C43" s="58" t="s">
        <v>105</v>
      </c>
      <c r="D43" s="59"/>
      <c r="E43" s="325"/>
      <c r="F43" s="60"/>
      <c r="G43" s="61"/>
      <c r="H43" s="62"/>
      <c r="I43" s="62"/>
      <c r="J43" s="63"/>
      <c r="K43" s="64"/>
      <c r="L43" s="139"/>
      <c r="M43" s="139"/>
      <c r="N43" s="9"/>
    </row>
    <row r="44" spans="1:14" s="91" customFormat="1" ht="90" hidden="1">
      <c r="A44" s="57"/>
      <c r="B44" s="16" t="s">
        <v>108</v>
      </c>
      <c r="C44" s="58" t="s">
        <v>106</v>
      </c>
      <c r="D44" s="59"/>
      <c r="E44" s="331"/>
      <c r="F44" s="124"/>
      <c r="G44" s="138"/>
      <c r="H44" s="140"/>
      <c r="I44" s="140"/>
      <c r="J44" s="63"/>
      <c r="K44" s="64"/>
      <c r="L44" s="139"/>
      <c r="M44" s="139"/>
      <c r="N44" s="9"/>
    </row>
    <row r="45" spans="1:14" ht="45" hidden="1">
      <c r="A45" s="57"/>
      <c r="B45" s="16" t="s">
        <v>90</v>
      </c>
      <c r="C45" s="58"/>
      <c r="D45" s="59"/>
      <c r="E45" s="325"/>
      <c r="F45" s="60"/>
      <c r="G45" s="61"/>
      <c r="H45" s="62"/>
      <c r="I45" s="62"/>
      <c r="J45" s="63"/>
      <c r="K45" s="64"/>
      <c r="L45" s="139"/>
      <c r="M45" s="139"/>
      <c r="N45" s="9"/>
    </row>
    <row r="46" spans="1:14" s="99" customFormat="1" ht="67.5" hidden="1">
      <c r="A46" s="57"/>
      <c r="B46" s="16" t="s">
        <v>111</v>
      </c>
      <c r="C46" s="58"/>
      <c r="D46" s="59"/>
      <c r="E46" s="325"/>
      <c r="F46" s="141"/>
      <c r="G46" s="60"/>
      <c r="H46" s="59"/>
      <c r="I46" s="62"/>
      <c r="J46" s="142"/>
      <c r="K46" s="62"/>
      <c r="L46" s="59"/>
      <c r="M46" s="143"/>
      <c r="N46" s="8"/>
    </row>
    <row r="47" spans="1:14" s="91" customFormat="1" ht="45" hidden="1">
      <c r="A47" s="57"/>
      <c r="B47" s="16" t="s">
        <v>329</v>
      </c>
      <c r="C47" s="58"/>
      <c r="D47" s="59"/>
      <c r="E47" s="331"/>
      <c r="F47" s="124"/>
      <c r="G47" s="138"/>
      <c r="H47" s="140"/>
      <c r="I47" s="140"/>
      <c r="J47" s="63"/>
      <c r="K47" s="64"/>
      <c r="L47" s="139"/>
      <c r="M47" s="139"/>
      <c r="N47" s="9"/>
    </row>
    <row r="48" spans="1:14" s="45" customFormat="1" hidden="1">
      <c r="A48" s="57"/>
      <c r="B48" s="144" t="s">
        <v>31</v>
      </c>
      <c r="C48" s="58"/>
      <c r="D48" s="59"/>
      <c r="E48" s="325"/>
      <c r="F48" s="141"/>
      <c r="G48" s="60"/>
      <c r="H48" s="59"/>
      <c r="I48" s="62"/>
      <c r="J48" s="142"/>
      <c r="K48" s="62"/>
      <c r="L48" s="59"/>
      <c r="M48" s="143"/>
      <c r="N48" s="8"/>
    </row>
    <row r="49" spans="1:14" hidden="1">
      <c r="A49" s="57"/>
      <c r="B49" s="144" t="s">
        <v>34</v>
      </c>
      <c r="C49" s="58"/>
      <c r="D49" s="59"/>
      <c r="E49" s="325"/>
      <c r="F49" s="60"/>
      <c r="G49" s="61"/>
      <c r="H49" s="62"/>
      <c r="I49" s="62"/>
      <c r="J49" s="63"/>
      <c r="K49" s="64"/>
      <c r="L49" s="139"/>
      <c r="M49" s="139"/>
      <c r="N49" s="9"/>
    </row>
    <row r="50" spans="1:14" s="55" customFormat="1" ht="67.5">
      <c r="A50" s="37">
        <v>15</v>
      </c>
      <c r="B50" s="97" t="s">
        <v>190</v>
      </c>
      <c r="C50" s="92" t="s">
        <v>49</v>
      </c>
      <c r="D50" s="39"/>
      <c r="E50" s="323" t="s">
        <v>273</v>
      </c>
      <c r="F50" s="94"/>
      <c r="G50" s="41"/>
      <c r="H50" s="95"/>
      <c r="I50" s="95"/>
      <c r="J50" s="43"/>
      <c r="K50" s="39"/>
      <c r="L50" s="44"/>
      <c r="M50" s="44"/>
      <c r="N50" s="9" t="s">
        <v>136</v>
      </c>
    </row>
    <row r="51" spans="1:14" s="55" customFormat="1">
      <c r="A51" s="46"/>
      <c r="B51" s="47" t="s">
        <v>2</v>
      </c>
      <c r="C51" s="48"/>
      <c r="D51" s="67">
        <v>2000000</v>
      </c>
      <c r="E51" s="332"/>
      <c r="F51" s="89">
        <v>241502</v>
      </c>
      <c r="G51" s="269">
        <v>241630</v>
      </c>
      <c r="H51" s="90">
        <v>1787542</v>
      </c>
      <c r="I51" s="145">
        <v>1787542</v>
      </c>
      <c r="J51" s="146">
        <f>I51*100/I51</f>
        <v>100</v>
      </c>
      <c r="K51" s="68">
        <f>H51-I51</f>
        <v>0</v>
      </c>
      <c r="L51" s="68">
        <f>D51-H51</f>
        <v>212458</v>
      </c>
      <c r="M51" s="576"/>
      <c r="N51" s="9"/>
    </row>
    <row r="52" spans="1:14" s="55" customFormat="1" ht="45">
      <c r="A52" s="37">
        <v>16</v>
      </c>
      <c r="B52" s="97" t="s">
        <v>129</v>
      </c>
      <c r="C52" s="92" t="s">
        <v>130</v>
      </c>
      <c r="D52" s="39"/>
      <c r="E52" s="323" t="s">
        <v>255</v>
      </c>
      <c r="F52" s="94"/>
      <c r="G52" s="41"/>
      <c r="H52" s="95"/>
      <c r="I52" s="95"/>
      <c r="J52" s="43"/>
      <c r="K52" s="39"/>
      <c r="L52" s="44"/>
      <c r="M52" s="44"/>
      <c r="N52" s="9" t="s">
        <v>136</v>
      </c>
    </row>
    <row r="53" spans="1:14" s="55" customFormat="1">
      <c r="A53" s="46"/>
      <c r="B53" s="47" t="s">
        <v>2</v>
      </c>
      <c r="C53" s="48"/>
      <c r="D53" s="67">
        <v>2338400</v>
      </c>
      <c r="E53" s="332"/>
      <c r="F53" s="89"/>
      <c r="G53" s="51"/>
      <c r="H53" s="90"/>
      <c r="I53" s="90">
        <v>1774105.2</v>
      </c>
      <c r="J53" s="128">
        <f>I53*100/I53</f>
        <v>100</v>
      </c>
      <c r="K53" s="54">
        <f>D53-I53-L53</f>
        <v>0</v>
      </c>
      <c r="L53" s="68">
        <v>564294.80000000005</v>
      </c>
      <c r="M53" s="667"/>
      <c r="N53" s="9"/>
    </row>
    <row r="54" spans="1:14" s="99" customFormat="1" ht="45">
      <c r="A54" s="37">
        <v>17</v>
      </c>
      <c r="B54" s="65" t="s">
        <v>137</v>
      </c>
      <c r="C54" s="87" t="s">
        <v>106</v>
      </c>
      <c r="D54" s="66"/>
      <c r="E54" s="323" t="s">
        <v>270</v>
      </c>
      <c r="F54" s="147"/>
      <c r="G54" s="40"/>
      <c r="H54" s="66"/>
      <c r="I54" s="42"/>
      <c r="J54" s="148"/>
      <c r="K54" s="42"/>
      <c r="L54" s="66"/>
      <c r="M54" s="87"/>
      <c r="N54" s="9" t="s">
        <v>136</v>
      </c>
    </row>
    <row r="55" spans="1:14" s="91" customFormat="1">
      <c r="A55" s="46"/>
      <c r="B55" s="47" t="s">
        <v>2</v>
      </c>
      <c r="C55" s="48"/>
      <c r="D55" s="67">
        <v>2500000</v>
      </c>
      <c r="E55" s="328"/>
      <c r="F55" s="96"/>
      <c r="G55" s="96"/>
      <c r="H55" s="149"/>
      <c r="I55" s="577">
        <v>2281600</v>
      </c>
      <c r="J55" s="53">
        <f>I55*100/I55</f>
        <v>100</v>
      </c>
      <c r="K55" s="54">
        <f>D55-I55-L55</f>
        <v>0</v>
      </c>
      <c r="L55" s="575">
        <v>218400</v>
      </c>
      <c r="M55" s="576"/>
      <c r="N55" s="9"/>
    </row>
    <row r="56" spans="1:14" s="91" customFormat="1" ht="45" hidden="1">
      <c r="A56" s="57"/>
      <c r="B56" s="150" t="s">
        <v>201</v>
      </c>
      <c r="C56" s="379">
        <v>2301600</v>
      </c>
      <c r="D56" s="151">
        <v>2480000</v>
      </c>
      <c r="E56" s="331"/>
      <c r="F56" s="124">
        <v>241433</v>
      </c>
      <c r="G56" s="124">
        <v>241460</v>
      </c>
      <c r="H56" s="140">
        <v>2281600</v>
      </c>
      <c r="I56" s="140"/>
      <c r="J56" s="63"/>
      <c r="K56" s="64"/>
      <c r="L56" s="356"/>
      <c r="M56" s="139"/>
      <c r="N56" s="9"/>
    </row>
    <row r="57" spans="1:14" s="99" customFormat="1" ht="45">
      <c r="A57" s="69">
        <v>18</v>
      </c>
      <c r="B57" s="129" t="s">
        <v>221</v>
      </c>
      <c r="C57" s="152" t="s">
        <v>106</v>
      </c>
      <c r="D57" s="153"/>
      <c r="E57" s="333" t="s">
        <v>288</v>
      </c>
      <c r="F57" s="154"/>
      <c r="G57" s="155"/>
      <c r="H57" s="156"/>
      <c r="I57" s="156"/>
      <c r="J57" s="74"/>
      <c r="K57" s="75"/>
      <c r="L57" s="530"/>
      <c r="M57" s="76"/>
      <c r="N57" s="9"/>
    </row>
    <row r="58" spans="1:14" s="91" customFormat="1">
      <c r="A58" s="77"/>
      <c r="B58" s="78" t="s">
        <v>2</v>
      </c>
      <c r="C58" s="79"/>
      <c r="D58" s="80">
        <v>1660000</v>
      </c>
      <c r="E58" s="335"/>
      <c r="F58" s="81"/>
      <c r="G58" s="82"/>
      <c r="H58" s="83"/>
      <c r="I58" s="83">
        <v>296577</v>
      </c>
      <c r="J58" s="84">
        <f>I58*100/D58</f>
        <v>17.866084337349399</v>
      </c>
      <c r="K58" s="85">
        <f>D58-I58-L58</f>
        <v>1075350</v>
      </c>
      <c r="L58" s="137">
        <v>288073</v>
      </c>
      <c r="M58" s="86"/>
      <c r="N58" s="8" t="s">
        <v>626</v>
      </c>
    </row>
    <row r="59" spans="1:14" s="55" customFormat="1" ht="45">
      <c r="A59" s="37">
        <v>19</v>
      </c>
      <c r="B59" s="97" t="s">
        <v>32</v>
      </c>
      <c r="C59" s="92" t="s">
        <v>182</v>
      </c>
      <c r="D59" s="39"/>
      <c r="E59" s="323" t="s">
        <v>292</v>
      </c>
      <c r="F59" s="94"/>
      <c r="G59" s="41"/>
      <c r="H59" s="95"/>
      <c r="I59" s="95"/>
      <c r="J59" s="43"/>
      <c r="K59" s="39"/>
      <c r="L59" s="44"/>
      <c r="M59" s="44"/>
      <c r="N59" s="9" t="s">
        <v>136</v>
      </c>
    </row>
    <row r="60" spans="1:14" s="55" customFormat="1">
      <c r="A60" s="46"/>
      <c r="B60" s="47" t="s">
        <v>2</v>
      </c>
      <c r="C60" s="48"/>
      <c r="D60" s="67">
        <v>2290400</v>
      </c>
      <c r="E60" s="332"/>
      <c r="F60" s="89"/>
      <c r="G60" s="51"/>
      <c r="H60" s="90"/>
      <c r="I60" s="90">
        <v>2202816</v>
      </c>
      <c r="J60" s="128">
        <f>I60*100/I60</f>
        <v>100</v>
      </c>
      <c r="K60" s="54">
        <f>D60-I60-L60</f>
        <v>0</v>
      </c>
      <c r="L60" s="68">
        <v>87584</v>
      </c>
      <c r="M60" s="576"/>
      <c r="N60" s="9"/>
    </row>
    <row r="61" spans="1:14" s="55" customFormat="1" ht="45">
      <c r="A61" s="69">
        <v>20</v>
      </c>
      <c r="B61" s="129" t="s">
        <v>306</v>
      </c>
      <c r="C61" s="130" t="s">
        <v>307</v>
      </c>
      <c r="D61" s="75"/>
      <c r="E61" s="333" t="s">
        <v>325</v>
      </c>
      <c r="F61" s="131"/>
      <c r="G61" s="72"/>
      <c r="H61" s="73"/>
      <c r="I61" s="73"/>
      <c r="J61" s="74"/>
      <c r="K61" s="75"/>
      <c r="L61" s="76"/>
      <c r="M61" s="76"/>
      <c r="N61" s="9" t="s">
        <v>136</v>
      </c>
    </row>
    <row r="62" spans="1:14" s="55" customFormat="1">
      <c r="A62" s="77"/>
      <c r="B62" s="157" t="s">
        <v>3</v>
      </c>
      <c r="C62" s="79"/>
      <c r="D62" s="80">
        <v>50000</v>
      </c>
      <c r="E62" s="334"/>
      <c r="F62" s="132">
        <v>241516</v>
      </c>
      <c r="G62" s="527">
        <v>241607</v>
      </c>
      <c r="H62" s="133">
        <v>50000</v>
      </c>
      <c r="I62" s="133">
        <v>50000</v>
      </c>
      <c r="J62" s="134">
        <f>I62*100/D62</f>
        <v>100</v>
      </c>
      <c r="K62" s="85">
        <f>D62-I62</f>
        <v>0</v>
      </c>
      <c r="L62" s="86"/>
      <c r="M62" s="86"/>
      <c r="N62" s="9"/>
    </row>
    <row r="63" spans="1:14" s="55" customFormat="1">
      <c r="A63" s="57"/>
      <c r="B63" s="150" t="s">
        <v>352</v>
      </c>
      <c r="C63" s="159"/>
      <c r="D63" s="151"/>
      <c r="E63" s="325"/>
      <c r="F63" s="124"/>
      <c r="G63" s="138"/>
      <c r="H63" s="140"/>
      <c r="I63" s="140"/>
      <c r="J63" s="63"/>
      <c r="K63" s="64"/>
      <c r="L63" s="139"/>
      <c r="M63" s="139"/>
      <c r="N63" s="9"/>
    </row>
    <row r="64" spans="1:14" s="55" customFormat="1" ht="67.5">
      <c r="A64" s="69">
        <v>21</v>
      </c>
      <c r="B64" s="129" t="s">
        <v>587</v>
      </c>
      <c r="C64" s="130" t="s">
        <v>307</v>
      </c>
      <c r="D64" s="75"/>
      <c r="E64" s="333" t="s">
        <v>598</v>
      </c>
      <c r="F64" s="131"/>
      <c r="G64" s="72"/>
      <c r="H64" s="73"/>
      <c r="I64" s="73"/>
      <c r="J64" s="74"/>
      <c r="K64" s="75"/>
      <c r="L64" s="76"/>
      <c r="M64" s="76"/>
      <c r="N64" s="9" t="s">
        <v>136</v>
      </c>
    </row>
    <row r="65" spans="1:14" s="55" customFormat="1">
      <c r="A65" s="77"/>
      <c r="B65" s="78" t="s">
        <v>2</v>
      </c>
      <c r="C65" s="79"/>
      <c r="D65" s="80">
        <v>275840</v>
      </c>
      <c r="E65" s="334"/>
      <c r="F65" s="132"/>
      <c r="G65" s="527"/>
      <c r="H65" s="133"/>
      <c r="I65" s="133">
        <v>257040</v>
      </c>
      <c r="J65" s="134">
        <f>I65*100/I65</f>
        <v>100</v>
      </c>
      <c r="K65" s="85">
        <f>D65-I65-L65</f>
        <v>0</v>
      </c>
      <c r="L65" s="137">
        <v>18800</v>
      </c>
      <c r="M65" s="86"/>
      <c r="N65" s="9"/>
    </row>
    <row r="66" spans="1:14" s="55" customFormat="1" ht="34.5">
      <c r="A66" s="160">
        <v>22</v>
      </c>
      <c r="B66" s="38" t="s">
        <v>36</v>
      </c>
      <c r="C66" s="92" t="s">
        <v>76</v>
      </c>
      <c r="D66" s="39"/>
      <c r="E66" s="323" t="s">
        <v>249</v>
      </c>
      <c r="F66" s="94"/>
      <c r="G66" s="41"/>
      <c r="H66" s="95"/>
      <c r="I66" s="95"/>
      <c r="J66" s="43"/>
      <c r="K66" s="39"/>
      <c r="L66" s="44"/>
      <c r="M66" s="44"/>
      <c r="N66" s="9"/>
    </row>
    <row r="67" spans="1:14" s="55" customFormat="1">
      <c r="A67" s="46"/>
      <c r="B67" s="47" t="s">
        <v>2</v>
      </c>
      <c r="C67" s="48"/>
      <c r="D67" s="67">
        <v>1140000</v>
      </c>
      <c r="E67" s="332"/>
      <c r="F67" s="89"/>
      <c r="G67" s="51"/>
      <c r="H67" s="90"/>
      <c r="I67" s="90">
        <v>1140000</v>
      </c>
      <c r="J67" s="128">
        <f>I67*100/D67</f>
        <v>100</v>
      </c>
      <c r="K67" s="54">
        <f>D67-I67</f>
        <v>0</v>
      </c>
      <c r="L67" s="576"/>
      <c r="M67" s="576"/>
      <c r="N67" s="9" t="s">
        <v>136</v>
      </c>
    </row>
    <row r="68" spans="1:14" s="55" customFormat="1" ht="45">
      <c r="A68" s="37">
        <v>23</v>
      </c>
      <c r="B68" s="97" t="s">
        <v>197</v>
      </c>
      <c r="C68" s="92" t="s">
        <v>76</v>
      </c>
      <c r="D68" s="39"/>
      <c r="E68" s="323" t="s">
        <v>249</v>
      </c>
      <c r="F68" s="94"/>
      <c r="G68" s="41"/>
      <c r="H68" s="95"/>
      <c r="I68" s="95"/>
      <c r="J68" s="43"/>
      <c r="K68" s="39"/>
      <c r="L68" s="44"/>
      <c r="M68" s="44"/>
      <c r="N68" s="9"/>
    </row>
    <row r="69" spans="1:14" s="55" customFormat="1">
      <c r="A69" s="46"/>
      <c r="B69" s="47" t="s">
        <v>2</v>
      </c>
      <c r="C69" s="48"/>
      <c r="D69" s="67">
        <v>900000</v>
      </c>
      <c r="E69" s="332"/>
      <c r="F69" s="89"/>
      <c r="G69" s="51"/>
      <c r="H69" s="90"/>
      <c r="I69" s="90">
        <v>900000</v>
      </c>
      <c r="J69" s="128">
        <f>I69*100/I69</f>
        <v>100</v>
      </c>
      <c r="K69" s="54">
        <f>D69-I69-L69</f>
        <v>0</v>
      </c>
      <c r="L69" s="68">
        <v>0</v>
      </c>
      <c r="M69" s="576"/>
      <c r="N69" s="9" t="s">
        <v>136</v>
      </c>
    </row>
    <row r="70" spans="1:14" ht="34.5">
      <c r="A70" s="37">
        <v>24</v>
      </c>
      <c r="B70" s="100" t="s">
        <v>75</v>
      </c>
      <c r="C70" s="92" t="s">
        <v>76</v>
      </c>
      <c r="D70" s="101">
        <f>D71+D72</f>
        <v>3120000</v>
      </c>
      <c r="E70" s="323" t="s">
        <v>286</v>
      </c>
      <c r="F70" s="40"/>
      <c r="G70" s="94"/>
      <c r="H70" s="92"/>
      <c r="I70" s="42">
        <f>I71+I72</f>
        <v>2697076.09</v>
      </c>
      <c r="J70" s="102">
        <f>I70*100/I70</f>
        <v>100</v>
      </c>
      <c r="K70" s="103">
        <f>D70-I70-L71-M72</f>
        <v>0</v>
      </c>
      <c r="L70" s="354"/>
      <c r="M70" s="39"/>
      <c r="N70" s="9" t="s">
        <v>136</v>
      </c>
    </row>
    <row r="71" spans="1:14" s="112" customFormat="1">
      <c r="A71" s="104"/>
      <c r="B71" s="105" t="s">
        <v>2</v>
      </c>
      <c r="C71" s="106"/>
      <c r="D71" s="107">
        <v>180000</v>
      </c>
      <c r="E71" s="329"/>
      <c r="F71" s="108"/>
      <c r="G71" s="109"/>
      <c r="H71" s="106"/>
      <c r="I71" s="531">
        <v>178500</v>
      </c>
      <c r="J71" s="161">
        <f>I71*100/I71</f>
        <v>100</v>
      </c>
      <c r="K71" s="162">
        <f>D71-I71-L71</f>
        <v>0</v>
      </c>
      <c r="L71" s="648">
        <v>1500</v>
      </c>
      <c r="M71" s="355"/>
      <c r="N71" s="11"/>
    </row>
    <row r="72" spans="1:14" s="167" customFormat="1">
      <c r="A72" s="104"/>
      <c r="B72" s="163" t="s">
        <v>3</v>
      </c>
      <c r="C72" s="106"/>
      <c r="D72" s="107">
        <v>2940000</v>
      </c>
      <c r="E72" s="329"/>
      <c r="F72" s="164">
        <v>241488</v>
      </c>
      <c r="G72" s="165">
        <v>241668</v>
      </c>
      <c r="H72" s="166">
        <v>2790000</v>
      </c>
      <c r="I72" s="531">
        <v>2518576.09</v>
      </c>
      <c r="J72" s="161">
        <f>I72*100/I72</f>
        <v>100</v>
      </c>
      <c r="K72" s="162"/>
      <c r="L72" s="355"/>
      <c r="M72" s="162">
        <v>421423.91</v>
      </c>
      <c r="N72" s="11"/>
    </row>
    <row r="73" spans="1:14" s="55" customFormat="1" ht="45">
      <c r="A73" s="57"/>
      <c r="B73" s="8" t="s">
        <v>330</v>
      </c>
      <c r="C73" s="204"/>
      <c r="D73" s="168"/>
      <c r="E73" s="331"/>
      <c r="F73" s="124"/>
      <c r="G73" s="124"/>
      <c r="H73" s="122"/>
      <c r="I73" s="140"/>
      <c r="J73" s="127"/>
      <c r="K73" s="127"/>
      <c r="L73" s="668"/>
      <c r="M73" s="668"/>
      <c r="N73" s="14"/>
    </row>
    <row r="74" spans="1:14" s="55" customFormat="1" ht="34.5">
      <c r="A74" s="37">
        <v>25</v>
      </c>
      <c r="B74" s="169" t="s">
        <v>213</v>
      </c>
      <c r="C74" s="307" t="s">
        <v>30</v>
      </c>
      <c r="D74" s="39">
        <v>6779400</v>
      </c>
      <c r="E74" s="323" t="s">
        <v>290</v>
      </c>
      <c r="F74" s="94"/>
      <c r="G74" s="41"/>
      <c r="H74" s="95"/>
      <c r="I74" s="256">
        <f>I75+I76</f>
        <v>6453343</v>
      </c>
      <c r="J74" s="580">
        <f>I74*100/I74</f>
        <v>100</v>
      </c>
      <c r="K74" s="39">
        <f>D74-I74-L75</f>
        <v>0</v>
      </c>
      <c r="L74" s="44"/>
      <c r="M74" s="44"/>
      <c r="N74" s="9"/>
    </row>
    <row r="75" spans="1:14" s="174" customFormat="1">
      <c r="A75" s="170"/>
      <c r="B75" s="47" t="s">
        <v>2</v>
      </c>
      <c r="C75" s="171"/>
      <c r="D75" s="49">
        <v>6290400</v>
      </c>
      <c r="E75" s="336"/>
      <c r="F75" s="172"/>
      <c r="G75" s="173"/>
      <c r="H75" s="145"/>
      <c r="I75" s="90">
        <f>6290400-L75</f>
        <v>5964343</v>
      </c>
      <c r="J75" s="146">
        <f>I75*100/I75</f>
        <v>100</v>
      </c>
      <c r="K75" s="68">
        <f>D75-I75-L75</f>
        <v>0</v>
      </c>
      <c r="L75" s="68">
        <v>326057</v>
      </c>
      <c r="M75" s="576"/>
      <c r="N75" s="9" t="s">
        <v>136</v>
      </c>
    </row>
    <row r="76" spans="1:14" s="174" customFormat="1">
      <c r="A76" s="170"/>
      <c r="B76" s="56" t="s">
        <v>3</v>
      </c>
      <c r="C76" s="171"/>
      <c r="D76" s="49">
        <v>489000</v>
      </c>
      <c r="E76" s="336"/>
      <c r="F76" s="172">
        <v>241516</v>
      </c>
      <c r="G76" s="172">
        <v>241606</v>
      </c>
      <c r="H76" s="145">
        <v>489000</v>
      </c>
      <c r="I76" s="145">
        <v>489000</v>
      </c>
      <c r="J76" s="146">
        <f>I76*100/D76</f>
        <v>100</v>
      </c>
      <c r="K76" s="68">
        <f>D76-I76</f>
        <v>0</v>
      </c>
      <c r="L76" s="576"/>
      <c r="M76" s="576"/>
      <c r="N76" s="9" t="s">
        <v>136</v>
      </c>
    </row>
    <row r="77" spans="1:14" s="174" customFormat="1" ht="45">
      <c r="A77" s="175"/>
      <c r="B77" s="16" t="s">
        <v>161</v>
      </c>
      <c r="C77" s="58"/>
      <c r="D77" s="176"/>
      <c r="E77" s="337"/>
      <c r="F77" s="177"/>
      <c r="G77" s="178"/>
      <c r="H77" s="179"/>
      <c r="I77" s="179"/>
      <c r="J77" s="180"/>
      <c r="K77" s="181"/>
      <c r="L77" s="669"/>
      <c r="M77" s="139"/>
      <c r="N77" s="16"/>
    </row>
    <row r="78" spans="1:14" s="55" customFormat="1" ht="67.5">
      <c r="A78" s="69">
        <v>26</v>
      </c>
      <c r="B78" s="129" t="s">
        <v>226</v>
      </c>
      <c r="C78" s="130" t="s">
        <v>227</v>
      </c>
      <c r="D78" s="75"/>
      <c r="E78" s="333" t="s">
        <v>287</v>
      </c>
      <c r="F78" s="131"/>
      <c r="G78" s="72"/>
      <c r="H78" s="73"/>
      <c r="I78" s="73"/>
      <c r="J78" s="74"/>
      <c r="K78" s="75"/>
      <c r="L78" s="76"/>
      <c r="M78" s="76"/>
      <c r="N78" s="9"/>
    </row>
    <row r="79" spans="1:14" s="55" customFormat="1">
      <c r="A79" s="77"/>
      <c r="B79" s="78" t="s">
        <v>2</v>
      </c>
      <c r="C79" s="79"/>
      <c r="D79" s="80">
        <v>158000</v>
      </c>
      <c r="E79" s="334"/>
      <c r="F79" s="132"/>
      <c r="G79" s="82"/>
      <c r="H79" s="133"/>
      <c r="I79" s="133">
        <v>146750</v>
      </c>
      <c r="J79" s="134">
        <f>I79*100/I79</f>
        <v>100</v>
      </c>
      <c r="K79" s="85">
        <f>D79-I79-L79</f>
        <v>0</v>
      </c>
      <c r="L79" s="137">
        <v>11250</v>
      </c>
      <c r="M79" s="86"/>
      <c r="N79" s="9" t="s">
        <v>136</v>
      </c>
    </row>
    <row r="80" spans="1:14" s="55" customFormat="1" ht="45">
      <c r="A80" s="37">
        <v>27</v>
      </c>
      <c r="B80" s="97" t="s">
        <v>484</v>
      </c>
      <c r="C80" s="92" t="s">
        <v>22</v>
      </c>
      <c r="D80" s="182"/>
      <c r="E80" s="323" t="s">
        <v>277</v>
      </c>
      <c r="F80" s="94"/>
      <c r="G80" s="41"/>
      <c r="H80" s="95"/>
      <c r="I80" s="95"/>
      <c r="J80" s="43"/>
      <c r="K80" s="39"/>
      <c r="L80" s="44"/>
      <c r="M80" s="44"/>
      <c r="N80" s="9" t="s">
        <v>136</v>
      </c>
    </row>
    <row r="81" spans="1:14" s="55" customFormat="1">
      <c r="A81" s="46"/>
      <c r="B81" s="56" t="s">
        <v>3</v>
      </c>
      <c r="C81" s="48"/>
      <c r="D81" s="67">
        <v>4900000</v>
      </c>
      <c r="E81" s="332"/>
      <c r="F81" s="89">
        <v>241516</v>
      </c>
      <c r="G81" s="89">
        <v>241636</v>
      </c>
      <c r="H81" s="90">
        <v>4240000</v>
      </c>
      <c r="I81" s="145">
        <v>4235477.42</v>
      </c>
      <c r="J81" s="146">
        <f>I81*100/I81</f>
        <v>100</v>
      </c>
      <c r="K81" s="68">
        <f>D81-I81-M81</f>
        <v>0</v>
      </c>
      <c r="L81" s="576"/>
      <c r="M81" s="575">
        <v>664522.57999999996</v>
      </c>
      <c r="N81" s="9"/>
    </row>
    <row r="82" spans="1:14" s="190" customFormat="1" ht="45">
      <c r="A82" s="113"/>
      <c r="B82" s="121" t="s">
        <v>331</v>
      </c>
      <c r="C82" s="183"/>
      <c r="D82" s="184"/>
      <c r="E82" s="338"/>
      <c r="F82" s="116"/>
      <c r="G82" s="185"/>
      <c r="H82" s="186"/>
      <c r="I82" s="186"/>
      <c r="J82" s="187"/>
      <c r="K82" s="188"/>
      <c r="L82" s="189"/>
      <c r="M82" s="189"/>
      <c r="N82" s="17"/>
    </row>
    <row r="83" spans="1:14" s="55" customFormat="1" ht="34.5">
      <c r="A83" s="37">
        <v>28</v>
      </c>
      <c r="B83" s="38" t="s">
        <v>24</v>
      </c>
      <c r="C83" s="92" t="s">
        <v>39</v>
      </c>
      <c r="D83" s="39">
        <f>D84+D85</f>
        <v>1908450</v>
      </c>
      <c r="E83" s="323" t="s">
        <v>276</v>
      </c>
      <c r="F83" s="94"/>
      <c r="G83" s="41"/>
      <c r="H83" s="95"/>
      <c r="I83" s="95">
        <v>1512043.77</v>
      </c>
      <c r="J83" s="199">
        <f>I83*100/D83</f>
        <v>79.228890984830628</v>
      </c>
      <c r="K83" s="39">
        <f>D83-I83</f>
        <v>396406.23</v>
      </c>
      <c r="L83" s="44"/>
      <c r="M83" s="44"/>
      <c r="N83" s="9"/>
    </row>
    <row r="84" spans="1:14" s="55" customFormat="1">
      <c r="A84" s="46"/>
      <c r="B84" s="47" t="s">
        <v>2</v>
      </c>
      <c r="C84" s="48"/>
      <c r="D84" s="67">
        <v>1403450</v>
      </c>
      <c r="E84" s="332"/>
      <c r="F84" s="89"/>
      <c r="G84" s="51"/>
      <c r="H84" s="90"/>
      <c r="I84" s="145">
        <f>858139.77+150400</f>
        <v>1008539.77</v>
      </c>
      <c r="J84" s="146">
        <f>I84*100/D84</f>
        <v>71.861467811464607</v>
      </c>
      <c r="K84" s="68">
        <f>D84-I84</f>
        <v>394910.23</v>
      </c>
      <c r="L84" s="576"/>
      <c r="M84" s="576"/>
      <c r="N84" s="9" t="s">
        <v>356</v>
      </c>
    </row>
    <row r="85" spans="1:14" s="55" customFormat="1">
      <c r="A85" s="46"/>
      <c r="B85" s="366" t="s">
        <v>3</v>
      </c>
      <c r="C85" s="48"/>
      <c r="D85" s="67">
        <v>505000</v>
      </c>
      <c r="E85" s="332"/>
      <c r="F85" s="89"/>
      <c r="G85" s="51"/>
      <c r="H85" s="90"/>
      <c r="I85" s="145">
        <f>I86+I87</f>
        <v>503504</v>
      </c>
      <c r="J85" s="146">
        <f>I85*100/I85</f>
        <v>100</v>
      </c>
      <c r="K85" s="68">
        <f>I85-I85</f>
        <v>0</v>
      </c>
      <c r="L85" s="576"/>
      <c r="M85" s="576"/>
      <c r="N85" s="9"/>
    </row>
    <row r="86" spans="1:14" s="190" customFormat="1" ht="45">
      <c r="A86" s="113"/>
      <c r="B86" s="201" t="s">
        <v>346</v>
      </c>
      <c r="C86" s="202"/>
      <c r="D86" s="192">
        <v>25000</v>
      </c>
      <c r="E86" s="338"/>
      <c r="F86" s="116">
        <v>241507</v>
      </c>
      <c r="G86" s="116">
        <v>241514</v>
      </c>
      <c r="H86" s="186">
        <v>25000</v>
      </c>
      <c r="I86" s="193">
        <v>25000</v>
      </c>
      <c r="J86" s="194">
        <f>I86*100/D86</f>
        <v>100</v>
      </c>
      <c r="K86" s="195">
        <f>D86-I86</f>
        <v>0</v>
      </c>
      <c r="L86" s="189"/>
      <c r="M86" s="189"/>
      <c r="N86" s="17" t="s">
        <v>136</v>
      </c>
    </row>
    <row r="87" spans="1:14" s="190" customFormat="1">
      <c r="A87" s="113"/>
      <c r="B87" s="201" t="s">
        <v>347</v>
      </c>
      <c r="C87" s="202"/>
      <c r="D87" s="192">
        <v>480000</v>
      </c>
      <c r="E87" s="338"/>
      <c r="F87" s="116">
        <v>241512</v>
      </c>
      <c r="G87" s="116">
        <v>241542</v>
      </c>
      <c r="H87" s="186">
        <v>478504</v>
      </c>
      <c r="I87" s="179">
        <v>478504</v>
      </c>
      <c r="J87" s="180">
        <f>I87*100/H87</f>
        <v>100</v>
      </c>
      <c r="K87" s="181">
        <f>H87-I87</f>
        <v>0</v>
      </c>
      <c r="L87" s="189"/>
      <c r="M87" s="529">
        <f>D87-H87</f>
        <v>1496</v>
      </c>
      <c r="N87" s="17" t="s">
        <v>136</v>
      </c>
    </row>
    <row r="88" spans="1:14" s="55" customFormat="1" ht="34.5">
      <c r="A88" s="37">
        <v>29</v>
      </c>
      <c r="B88" s="38" t="s">
        <v>38</v>
      </c>
      <c r="C88" s="92" t="s">
        <v>39</v>
      </c>
      <c r="D88" s="39"/>
      <c r="E88" s="323" t="s">
        <v>258</v>
      </c>
      <c r="F88" s="94"/>
      <c r="G88" s="41"/>
      <c r="H88" s="95"/>
      <c r="I88" s="95"/>
      <c r="J88" s="43"/>
      <c r="K88" s="39"/>
      <c r="L88" s="44"/>
      <c r="M88" s="44"/>
      <c r="N88" s="9" t="s">
        <v>136</v>
      </c>
    </row>
    <row r="89" spans="1:14" s="55" customFormat="1">
      <c r="A89" s="46"/>
      <c r="B89" s="47" t="s">
        <v>2</v>
      </c>
      <c r="C89" s="48"/>
      <c r="D89" s="67">
        <v>2000000</v>
      </c>
      <c r="E89" s="332"/>
      <c r="F89" s="89"/>
      <c r="G89" s="51"/>
      <c r="H89" s="90"/>
      <c r="I89" s="145">
        <v>1991260</v>
      </c>
      <c r="J89" s="146">
        <f>I89*100/I89</f>
        <v>100</v>
      </c>
      <c r="K89" s="68">
        <f>I89-I89</f>
        <v>0</v>
      </c>
      <c r="L89" s="575">
        <f>D89-I89</f>
        <v>8740</v>
      </c>
      <c r="M89" s="576"/>
      <c r="N89" s="9"/>
    </row>
    <row r="90" spans="1:14" s="55" customFormat="1" ht="34.5">
      <c r="A90" s="37">
        <v>30</v>
      </c>
      <c r="B90" s="97" t="s">
        <v>53</v>
      </c>
      <c r="C90" s="92" t="s">
        <v>39</v>
      </c>
      <c r="D90" s="39"/>
      <c r="E90" s="323" t="s">
        <v>279</v>
      </c>
      <c r="F90" s="94"/>
      <c r="G90" s="41"/>
      <c r="H90" s="95"/>
      <c r="I90" s="95"/>
      <c r="J90" s="43"/>
      <c r="K90" s="39"/>
      <c r="L90" s="44"/>
      <c r="M90" s="44"/>
      <c r="N90" s="9" t="s">
        <v>610</v>
      </c>
    </row>
    <row r="91" spans="1:14" s="55" customFormat="1">
      <c r="A91" s="46"/>
      <c r="B91" s="47" t="s">
        <v>2</v>
      </c>
      <c r="C91" s="48"/>
      <c r="D91" s="67">
        <v>1356500</v>
      </c>
      <c r="E91" s="332"/>
      <c r="F91" s="89"/>
      <c r="G91" s="51"/>
      <c r="H91" s="90"/>
      <c r="I91" s="145">
        <v>37896</v>
      </c>
      <c r="J91" s="146">
        <f>I91*100/D91</f>
        <v>2.7936601548101732</v>
      </c>
      <c r="K91" s="68">
        <f>D91-I91</f>
        <v>1318604</v>
      </c>
      <c r="L91" s="576"/>
      <c r="M91" s="576"/>
      <c r="N91" s="9"/>
    </row>
    <row r="92" spans="1:14" s="55" customFormat="1" ht="54.75" customHeight="1">
      <c r="A92" s="37">
        <v>31</v>
      </c>
      <c r="B92" s="97" t="s">
        <v>55</v>
      </c>
      <c r="C92" s="92" t="s">
        <v>39</v>
      </c>
      <c r="D92" s="39"/>
      <c r="E92" s="323" t="s">
        <v>279</v>
      </c>
      <c r="F92" s="94"/>
      <c r="G92" s="41"/>
      <c r="H92" s="95"/>
      <c r="I92" s="95"/>
      <c r="J92" s="43"/>
      <c r="K92" s="39"/>
      <c r="L92" s="44"/>
      <c r="M92" s="44"/>
      <c r="N92" s="9" t="s">
        <v>356</v>
      </c>
    </row>
    <row r="93" spans="1:14" s="55" customFormat="1">
      <c r="A93" s="46"/>
      <c r="B93" s="47" t="s">
        <v>2</v>
      </c>
      <c r="C93" s="48"/>
      <c r="D93" s="67">
        <v>1678450</v>
      </c>
      <c r="E93" s="332"/>
      <c r="F93" s="89"/>
      <c r="G93" s="51"/>
      <c r="H93" s="90"/>
      <c r="I93" s="145">
        <v>1676050</v>
      </c>
      <c r="J93" s="146">
        <f>I93*100/I93</f>
        <v>100</v>
      </c>
      <c r="K93" s="68">
        <f>D93-I93-L93</f>
        <v>0</v>
      </c>
      <c r="L93" s="68">
        <v>2400</v>
      </c>
      <c r="M93" s="576"/>
      <c r="N93" s="9"/>
    </row>
    <row r="94" spans="1:14" s="55" customFormat="1" ht="34.5">
      <c r="A94" s="37">
        <v>32</v>
      </c>
      <c r="B94" s="97" t="s">
        <v>56</v>
      </c>
      <c r="C94" s="92" t="s">
        <v>39</v>
      </c>
      <c r="D94" s="39">
        <f>D96+D95</f>
        <v>370500</v>
      </c>
      <c r="E94" s="323" t="s">
        <v>279</v>
      </c>
      <c r="F94" s="94"/>
      <c r="G94" s="41"/>
      <c r="H94" s="95"/>
      <c r="I94" s="95">
        <f>I95+I96</f>
        <v>337200</v>
      </c>
      <c r="J94" s="43">
        <f>I94*100/I94</f>
        <v>100</v>
      </c>
      <c r="K94" s="39"/>
      <c r="L94" s="200"/>
      <c r="M94" s="44"/>
      <c r="N94" s="9"/>
    </row>
    <row r="95" spans="1:14" s="55" customFormat="1">
      <c r="A95" s="46"/>
      <c r="B95" s="47" t="s">
        <v>2</v>
      </c>
      <c r="C95" s="48"/>
      <c r="D95" s="67">
        <v>290500</v>
      </c>
      <c r="E95" s="332"/>
      <c r="F95" s="89"/>
      <c r="G95" s="51"/>
      <c r="H95" s="90"/>
      <c r="I95" s="145">
        <v>257200</v>
      </c>
      <c r="J95" s="146">
        <f>I95*100/I95</f>
        <v>100</v>
      </c>
      <c r="K95" s="68">
        <f>I95-I95</f>
        <v>0</v>
      </c>
      <c r="L95" s="68">
        <v>33300</v>
      </c>
      <c r="M95" s="576"/>
      <c r="N95" s="17" t="s">
        <v>136</v>
      </c>
    </row>
    <row r="96" spans="1:14" s="190" customFormat="1">
      <c r="A96" s="104"/>
      <c r="B96" s="105" t="s">
        <v>552</v>
      </c>
      <c r="C96" s="106"/>
      <c r="D96" s="107">
        <v>80000</v>
      </c>
      <c r="E96" s="362"/>
      <c r="F96" s="109">
        <v>241507</v>
      </c>
      <c r="G96" s="109">
        <v>241527</v>
      </c>
      <c r="H96" s="360">
        <v>80000</v>
      </c>
      <c r="I96" s="361">
        <v>80000</v>
      </c>
      <c r="J96" s="363">
        <f t="shared" ref="J96" si="2">I96*100/D96</f>
        <v>100</v>
      </c>
      <c r="K96" s="364">
        <f t="shared" ref="K96" si="3">D96-I96</f>
        <v>0</v>
      </c>
      <c r="L96" s="365"/>
      <c r="M96" s="365"/>
      <c r="N96" s="17" t="s">
        <v>136</v>
      </c>
    </row>
    <row r="97" spans="1:14" s="55" customFormat="1" ht="45">
      <c r="A97" s="37">
        <v>33</v>
      </c>
      <c r="B97" s="97" t="s">
        <v>54</v>
      </c>
      <c r="C97" s="92" t="s">
        <v>294</v>
      </c>
      <c r="D97" s="39">
        <v>3979000</v>
      </c>
      <c r="E97" s="323" t="s">
        <v>276</v>
      </c>
      <c r="F97" s="94"/>
      <c r="G97" s="41"/>
      <c r="H97" s="95"/>
      <c r="I97" s="95">
        <f>I99+I98</f>
        <v>2545129.25</v>
      </c>
      <c r="J97" s="43">
        <f>I97*100/I97</f>
        <v>100</v>
      </c>
      <c r="K97" s="39">
        <f>D97-I97-L98-M99</f>
        <v>0</v>
      </c>
      <c r="L97" s="44"/>
      <c r="M97" s="44"/>
      <c r="N97" s="9"/>
    </row>
    <row r="98" spans="1:14" s="55" customFormat="1">
      <c r="A98" s="46"/>
      <c r="B98" s="47" t="s">
        <v>2</v>
      </c>
      <c r="C98" s="191" t="s">
        <v>39</v>
      </c>
      <c r="D98" s="67">
        <v>419000</v>
      </c>
      <c r="E98" s="332"/>
      <c r="F98" s="89"/>
      <c r="G98" s="51"/>
      <c r="H98" s="90"/>
      <c r="I98" s="145">
        <v>417705.25</v>
      </c>
      <c r="J98" s="146">
        <f>I98*100/I98</f>
        <v>100</v>
      </c>
      <c r="K98" s="68">
        <f>D98-I98-L98</f>
        <v>0</v>
      </c>
      <c r="L98" s="68">
        <v>1294.75</v>
      </c>
      <c r="M98" s="576"/>
      <c r="N98" s="17" t="s">
        <v>136</v>
      </c>
    </row>
    <row r="99" spans="1:14" s="55" customFormat="1">
      <c r="A99" s="46"/>
      <c r="B99" s="56" t="s">
        <v>3</v>
      </c>
      <c r="C99" s="191" t="s">
        <v>21</v>
      </c>
      <c r="D99" s="67">
        <v>3560000</v>
      </c>
      <c r="E99" s="332"/>
      <c r="F99" s="89">
        <v>241554</v>
      </c>
      <c r="G99" s="89">
        <v>241706</v>
      </c>
      <c r="H99" s="663">
        <v>2127424</v>
      </c>
      <c r="I99" s="145">
        <v>2127424</v>
      </c>
      <c r="J99" s="146">
        <f>I99*100/I99</f>
        <v>100</v>
      </c>
      <c r="K99" s="68">
        <f>I99-I99</f>
        <v>0</v>
      </c>
      <c r="L99" s="576"/>
      <c r="M99" s="575">
        <f>D99-I99</f>
        <v>1432576</v>
      </c>
      <c r="N99" s="17" t="s">
        <v>136</v>
      </c>
    </row>
    <row r="100" spans="1:14" s="55" customFormat="1" ht="90" hidden="1">
      <c r="A100" s="57"/>
      <c r="B100" s="158" t="s">
        <v>353</v>
      </c>
      <c r="C100" s="159"/>
      <c r="D100" s="192"/>
      <c r="E100" s="338"/>
      <c r="F100" s="116"/>
      <c r="G100" s="185"/>
      <c r="H100" s="186"/>
      <c r="I100" s="193"/>
      <c r="J100" s="194"/>
      <c r="K100" s="195"/>
      <c r="L100" s="139"/>
      <c r="M100" s="139"/>
      <c r="N100" s="8" t="s">
        <v>538</v>
      </c>
    </row>
    <row r="101" spans="1:14" s="55" customFormat="1" ht="45">
      <c r="A101" s="69">
        <v>34</v>
      </c>
      <c r="B101" s="129" t="s">
        <v>189</v>
      </c>
      <c r="C101" s="130" t="s">
        <v>39</v>
      </c>
      <c r="D101" s="75"/>
      <c r="E101" s="333" t="s">
        <v>278</v>
      </c>
      <c r="F101" s="131"/>
      <c r="G101" s="72"/>
      <c r="H101" s="73"/>
      <c r="I101" s="73"/>
      <c r="J101" s="74"/>
      <c r="K101" s="75"/>
      <c r="L101" s="76"/>
      <c r="M101" s="76"/>
      <c r="N101" s="8" t="s">
        <v>136</v>
      </c>
    </row>
    <row r="102" spans="1:14" s="55" customFormat="1">
      <c r="A102" s="77"/>
      <c r="B102" s="78" t="s">
        <v>2</v>
      </c>
      <c r="C102" s="79"/>
      <c r="D102" s="80">
        <v>1500000</v>
      </c>
      <c r="E102" s="334"/>
      <c r="F102" s="132"/>
      <c r="G102" s="82"/>
      <c r="H102" s="133"/>
      <c r="I102" s="135">
        <v>1098000</v>
      </c>
      <c r="J102" s="136">
        <f>I102*100/I102</f>
        <v>100</v>
      </c>
      <c r="K102" s="137">
        <f>I102-I102</f>
        <v>0</v>
      </c>
      <c r="L102" s="594">
        <v>402000</v>
      </c>
      <c r="M102" s="86"/>
      <c r="N102" s="9"/>
    </row>
    <row r="103" spans="1:14" s="55" customFormat="1" ht="34.5">
      <c r="A103" s="196">
        <v>35</v>
      </c>
      <c r="B103" s="197" t="s">
        <v>135</v>
      </c>
      <c r="C103" s="130" t="s">
        <v>39</v>
      </c>
      <c r="D103" s="75"/>
      <c r="E103" s="333" t="s">
        <v>278</v>
      </c>
      <c r="F103" s="131"/>
      <c r="G103" s="72"/>
      <c r="H103" s="73"/>
      <c r="I103" s="73"/>
      <c r="J103" s="74"/>
      <c r="K103" s="75"/>
      <c r="L103" s="76"/>
      <c r="M103" s="76"/>
      <c r="N103" s="8" t="s">
        <v>136</v>
      </c>
    </row>
    <row r="104" spans="1:14" s="55" customFormat="1">
      <c r="A104" s="77"/>
      <c r="B104" s="78" t="s">
        <v>2</v>
      </c>
      <c r="C104" s="79"/>
      <c r="D104" s="80">
        <v>890200</v>
      </c>
      <c r="E104" s="334"/>
      <c r="F104" s="132"/>
      <c r="G104" s="82"/>
      <c r="H104" s="133"/>
      <c r="I104" s="133">
        <v>889130</v>
      </c>
      <c r="J104" s="136">
        <f>I104*100/I104</f>
        <v>100</v>
      </c>
      <c r="K104" s="85">
        <f>I104-I104</f>
        <v>0</v>
      </c>
      <c r="L104" s="137">
        <f>D104-I104</f>
        <v>1070</v>
      </c>
      <c r="M104" s="86"/>
      <c r="N104" s="9"/>
    </row>
    <row r="105" spans="1:14" s="55" customFormat="1" ht="45">
      <c r="A105" s="196">
        <v>36</v>
      </c>
      <c r="B105" s="129" t="s">
        <v>510</v>
      </c>
      <c r="C105" s="130" t="s">
        <v>39</v>
      </c>
      <c r="D105" s="75"/>
      <c r="E105" s="333" t="s">
        <v>518</v>
      </c>
      <c r="F105" s="131"/>
      <c r="G105" s="72"/>
      <c r="H105" s="73"/>
      <c r="I105" s="73"/>
      <c r="J105" s="74"/>
      <c r="K105" s="75"/>
      <c r="L105" s="76"/>
      <c r="M105" s="76"/>
      <c r="N105" s="8" t="s">
        <v>136</v>
      </c>
    </row>
    <row r="106" spans="1:14" s="55" customFormat="1">
      <c r="A106" s="77"/>
      <c r="B106" s="157" t="s">
        <v>3</v>
      </c>
      <c r="C106" s="79"/>
      <c r="D106" s="80">
        <v>499500</v>
      </c>
      <c r="E106" s="334"/>
      <c r="F106" s="132"/>
      <c r="G106" s="82"/>
      <c r="H106" s="133"/>
      <c r="I106" s="133">
        <v>499500</v>
      </c>
      <c r="J106" s="136">
        <f>I106*100/I106</f>
        <v>100</v>
      </c>
      <c r="K106" s="85">
        <f>D106-I106</f>
        <v>0</v>
      </c>
      <c r="L106" s="86"/>
      <c r="M106" s="86"/>
      <c r="N106" s="9"/>
    </row>
    <row r="107" spans="1:14" s="55" customFormat="1" ht="34.5">
      <c r="A107" s="37">
        <v>37</v>
      </c>
      <c r="B107" s="38" t="s">
        <v>120</v>
      </c>
      <c r="C107" s="92" t="s">
        <v>21</v>
      </c>
      <c r="D107" s="39"/>
      <c r="E107" s="323" t="s">
        <v>283</v>
      </c>
      <c r="F107" s="94"/>
      <c r="G107" s="41"/>
      <c r="H107" s="95"/>
      <c r="I107" s="95"/>
      <c r="J107" s="43"/>
      <c r="K107" s="39"/>
      <c r="L107" s="44"/>
      <c r="M107" s="44"/>
      <c r="N107" s="8"/>
    </row>
    <row r="108" spans="1:14" s="55" customFormat="1">
      <c r="A108" s="46"/>
      <c r="B108" s="56" t="s">
        <v>3</v>
      </c>
      <c r="C108" s="48"/>
      <c r="D108" s="67">
        <v>17605100</v>
      </c>
      <c r="E108" s="332"/>
      <c r="F108" s="89">
        <v>241556</v>
      </c>
      <c r="G108" s="89">
        <v>241726</v>
      </c>
      <c r="H108" s="90">
        <v>16291994.880000001</v>
      </c>
      <c r="I108" s="145">
        <v>8045721.4399999995</v>
      </c>
      <c r="J108" s="146">
        <f>I108*100/D108</f>
        <v>45.701083436049778</v>
      </c>
      <c r="K108" s="68">
        <f>H108-I108-M108</f>
        <v>6921168.3200000012</v>
      </c>
      <c r="L108" s="576"/>
      <c r="M108" s="575">
        <v>1325105.1200000001</v>
      </c>
      <c r="N108" s="9"/>
    </row>
    <row r="109" spans="1:14" s="55" customFormat="1" ht="135">
      <c r="A109" s="57"/>
      <c r="B109" s="8" t="s">
        <v>546</v>
      </c>
      <c r="C109" s="58"/>
      <c r="D109" s="59"/>
      <c r="E109" s="325"/>
      <c r="F109" s="124"/>
      <c r="G109" s="138"/>
      <c r="H109" s="140"/>
      <c r="I109" s="140"/>
      <c r="J109" s="63"/>
      <c r="K109" s="64"/>
      <c r="L109" s="139"/>
      <c r="M109" s="139"/>
      <c r="N109" s="8" t="s">
        <v>545</v>
      </c>
    </row>
    <row r="110" spans="1:14" s="55" customFormat="1" ht="34.5">
      <c r="A110" s="37">
        <v>38</v>
      </c>
      <c r="B110" s="38" t="s">
        <v>40</v>
      </c>
      <c r="C110" s="92" t="s">
        <v>41</v>
      </c>
      <c r="D110" s="39"/>
      <c r="E110" s="323" t="s">
        <v>251</v>
      </c>
      <c r="F110" s="94"/>
      <c r="G110" s="41"/>
      <c r="H110" s="95"/>
      <c r="I110" s="95"/>
      <c r="J110" s="43"/>
      <c r="K110" s="39"/>
      <c r="L110" s="44"/>
      <c r="M110" s="44"/>
      <c r="N110" s="8" t="s">
        <v>136</v>
      </c>
    </row>
    <row r="111" spans="1:14" s="55" customFormat="1">
      <c r="A111" s="46"/>
      <c r="B111" s="47" t="s">
        <v>2</v>
      </c>
      <c r="C111" s="48"/>
      <c r="D111" s="67">
        <v>9844350</v>
      </c>
      <c r="E111" s="332"/>
      <c r="F111" s="89"/>
      <c r="G111" s="51"/>
      <c r="H111" s="90"/>
      <c r="I111" s="145">
        <v>9811400</v>
      </c>
      <c r="J111" s="146">
        <f>I111*100/I111</f>
        <v>100</v>
      </c>
      <c r="K111" s="68">
        <f>D111-I111-L111</f>
        <v>0</v>
      </c>
      <c r="L111" s="68">
        <v>32950</v>
      </c>
      <c r="M111" s="576"/>
      <c r="N111" s="9"/>
    </row>
    <row r="112" spans="1:14" s="55" customFormat="1" ht="34.5">
      <c r="A112" s="37">
        <v>39</v>
      </c>
      <c r="B112" s="38" t="s">
        <v>42</v>
      </c>
      <c r="C112" s="92" t="s">
        <v>41</v>
      </c>
      <c r="D112" s="39"/>
      <c r="E112" s="323" t="s">
        <v>251</v>
      </c>
      <c r="F112" s="94"/>
      <c r="G112" s="41"/>
      <c r="H112" s="95"/>
      <c r="I112" s="95"/>
      <c r="J112" s="43"/>
      <c r="K112" s="39"/>
      <c r="L112" s="44"/>
      <c r="M112" s="44"/>
      <c r="N112" s="8" t="s">
        <v>136</v>
      </c>
    </row>
    <row r="113" spans="1:14" s="55" customFormat="1">
      <c r="A113" s="46"/>
      <c r="B113" s="47" t="s">
        <v>2</v>
      </c>
      <c r="C113" s="48"/>
      <c r="D113" s="67">
        <v>4894000</v>
      </c>
      <c r="E113" s="332"/>
      <c r="F113" s="89"/>
      <c r="G113" s="51"/>
      <c r="H113" s="90">
        <v>4191950</v>
      </c>
      <c r="I113" s="145">
        <v>4191950</v>
      </c>
      <c r="J113" s="146">
        <f>I113*100/I113</f>
        <v>100</v>
      </c>
      <c r="K113" s="68">
        <f>H113-I113</f>
        <v>0</v>
      </c>
      <c r="L113" s="68">
        <f>D113-H113</f>
        <v>702050</v>
      </c>
      <c r="M113" s="576"/>
      <c r="N113" s="9"/>
    </row>
    <row r="114" spans="1:14" s="55" customFormat="1" ht="34.5">
      <c r="A114" s="69">
        <v>40</v>
      </c>
      <c r="B114" s="197" t="s">
        <v>218</v>
      </c>
      <c r="C114" s="130" t="s">
        <v>41</v>
      </c>
      <c r="D114" s="75"/>
      <c r="E114" s="333" t="s">
        <v>312</v>
      </c>
      <c r="F114" s="131"/>
      <c r="G114" s="72"/>
      <c r="H114" s="73"/>
      <c r="I114" s="73"/>
      <c r="J114" s="74"/>
      <c r="K114" s="75"/>
      <c r="L114" s="76"/>
      <c r="M114" s="76"/>
      <c r="N114" s="8" t="s">
        <v>136</v>
      </c>
    </row>
    <row r="115" spans="1:14" s="55" customFormat="1">
      <c r="A115" s="77"/>
      <c r="B115" s="78" t="s">
        <v>2</v>
      </c>
      <c r="C115" s="79"/>
      <c r="D115" s="80">
        <v>5000000</v>
      </c>
      <c r="E115" s="334"/>
      <c r="F115" s="132"/>
      <c r="G115" s="82"/>
      <c r="H115" s="133"/>
      <c r="I115" s="135">
        <v>5000000</v>
      </c>
      <c r="J115" s="136">
        <f>I115*100/D115</f>
        <v>100</v>
      </c>
      <c r="K115" s="137">
        <f>D115-I115</f>
        <v>0</v>
      </c>
      <c r="L115" s="86"/>
      <c r="M115" s="86"/>
      <c r="N115" s="9"/>
    </row>
    <row r="116" spans="1:14" s="55" customFormat="1" ht="45">
      <c r="A116" s="69">
        <v>41</v>
      </c>
      <c r="B116" s="129" t="s">
        <v>219</v>
      </c>
      <c r="C116" s="130" t="s">
        <v>41</v>
      </c>
      <c r="D116" s="75"/>
      <c r="E116" s="333" t="s">
        <v>313</v>
      </c>
      <c r="F116" s="131"/>
      <c r="G116" s="72"/>
      <c r="H116" s="73"/>
      <c r="I116" s="73"/>
      <c r="J116" s="74"/>
      <c r="K116" s="75"/>
      <c r="L116" s="76"/>
      <c r="M116" s="76"/>
      <c r="N116" s="8" t="s">
        <v>136</v>
      </c>
    </row>
    <row r="117" spans="1:14" s="55" customFormat="1">
      <c r="A117" s="77"/>
      <c r="B117" s="78" t="s">
        <v>2</v>
      </c>
      <c r="C117" s="79"/>
      <c r="D117" s="80">
        <v>200000</v>
      </c>
      <c r="E117" s="334"/>
      <c r="F117" s="132">
        <v>241527</v>
      </c>
      <c r="G117" s="132">
        <v>241647</v>
      </c>
      <c r="H117" s="133">
        <v>195000</v>
      </c>
      <c r="I117" s="135">
        <v>195000</v>
      </c>
      <c r="J117" s="136">
        <f>I117*100/I117</f>
        <v>100</v>
      </c>
      <c r="K117" s="137">
        <f>H117-I117</f>
        <v>0</v>
      </c>
      <c r="L117" s="528">
        <f>D117-H117</f>
        <v>5000</v>
      </c>
      <c r="M117" s="86"/>
      <c r="N117" s="9"/>
    </row>
    <row r="118" spans="1:14" s="55" customFormat="1" ht="45">
      <c r="A118" s="69">
        <v>42</v>
      </c>
      <c r="B118" s="129" t="s">
        <v>355</v>
      </c>
      <c r="C118" s="130" t="s">
        <v>220</v>
      </c>
      <c r="D118" s="75"/>
      <c r="E118" s="333" t="s">
        <v>284</v>
      </c>
      <c r="F118" s="131"/>
      <c r="G118" s="72"/>
      <c r="H118" s="73"/>
      <c r="I118" s="73"/>
      <c r="J118" s="74"/>
      <c r="K118" s="75"/>
      <c r="L118" s="76"/>
      <c r="M118" s="76"/>
      <c r="N118" s="13" t="s">
        <v>556</v>
      </c>
    </row>
    <row r="119" spans="1:14" s="55" customFormat="1">
      <c r="A119" s="77"/>
      <c r="B119" s="78" t="s">
        <v>2</v>
      </c>
      <c r="C119" s="79"/>
      <c r="D119" s="80">
        <v>700400</v>
      </c>
      <c r="E119" s="334"/>
      <c r="F119" s="132"/>
      <c r="G119" s="82"/>
      <c r="H119" s="133"/>
      <c r="I119" s="135">
        <v>665790</v>
      </c>
      <c r="J119" s="136">
        <f>I119*100/I119</f>
        <v>100</v>
      </c>
      <c r="K119" s="137">
        <f>D119-I119-L119</f>
        <v>0</v>
      </c>
      <c r="L119" s="137">
        <v>34610</v>
      </c>
      <c r="M119" s="86"/>
      <c r="N119" s="9"/>
    </row>
    <row r="120" spans="1:14" s="55" customFormat="1" ht="45">
      <c r="A120" s="196">
        <v>43</v>
      </c>
      <c r="B120" s="129" t="s">
        <v>236</v>
      </c>
      <c r="C120" s="130" t="s">
        <v>220</v>
      </c>
      <c r="D120" s="75"/>
      <c r="E120" s="333" t="s">
        <v>284</v>
      </c>
      <c r="F120" s="131"/>
      <c r="G120" s="72"/>
      <c r="H120" s="73"/>
      <c r="I120" s="73"/>
      <c r="J120" s="74"/>
      <c r="K120" s="75"/>
      <c r="L120" s="76"/>
      <c r="M120" s="76"/>
      <c r="N120" s="13" t="s">
        <v>556</v>
      </c>
    </row>
    <row r="121" spans="1:14" s="55" customFormat="1">
      <c r="A121" s="77"/>
      <c r="B121" s="157" t="s">
        <v>3</v>
      </c>
      <c r="C121" s="79"/>
      <c r="D121" s="80">
        <v>1342000</v>
      </c>
      <c r="E121" s="327"/>
      <c r="F121" s="132">
        <v>241555</v>
      </c>
      <c r="G121" s="132">
        <v>241615</v>
      </c>
      <c r="H121" s="133">
        <v>1298000</v>
      </c>
      <c r="I121" s="133">
        <v>1298000</v>
      </c>
      <c r="J121" s="134">
        <f>I121*100/H121</f>
        <v>100</v>
      </c>
      <c r="K121" s="85">
        <f>H121-I121</f>
        <v>0</v>
      </c>
      <c r="L121" s="86"/>
      <c r="M121" s="528">
        <f>D121-H121</f>
        <v>44000</v>
      </c>
      <c r="N121" s="9"/>
    </row>
    <row r="122" spans="1:14" s="55" customFormat="1">
      <c r="A122" s="57"/>
      <c r="B122" s="150" t="s">
        <v>354</v>
      </c>
      <c r="C122" s="159"/>
      <c r="D122" s="151"/>
      <c r="E122" s="339"/>
      <c r="F122" s="124"/>
      <c r="G122" s="138"/>
      <c r="H122" s="140"/>
      <c r="I122" s="140"/>
      <c r="J122" s="63"/>
      <c r="K122" s="64"/>
      <c r="L122" s="139"/>
      <c r="M122" s="139"/>
      <c r="N122" s="9"/>
    </row>
    <row r="123" spans="1:14" s="55" customFormat="1" ht="45">
      <c r="A123" s="69">
        <v>44</v>
      </c>
      <c r="B123" s="129" t="s">
        <v>508</v>
      </c>
      <c r="C123" s="130" t="s">
        <v>220</v>
      </c>
      <c r="D123" s="75"/>
      <c r="E123" s="333" t="s">
        <v>517</v>
      </c>
      <c r="F123" s="131"/>
      <c r="G123" s="72"/>
      <c r="H123" s="73"/>
      <c r="I123" s="73"/>
      <c r="J123" s="74"/>
      <c r="K123" s="75"/>
      <c r="L123" s="76"/>
      <c r="M123" s="76"/>
      <c r="N123" s="13" t="s">
        <v>556</v>
      </c>
    </row>
    <row r="124" spans="1:14" s="55" customFormat="1">
      <c r="A124" s="77"/>
      <c r="B124" s="78" t="s">
        <v>2</v>
      </c>
      <c r="C124" s="79"/>
      <c r="D124" s="80">
        <v>350200</v>
      </c>
      <c r="E124" s="334"/>
      <c r="F124" s="132"/>
      <c r="G124" s="82"/>
      <c r="H124" s="133"/>
      <c r="I124" s="135">
        <v>343814</v>
      </c>
      <c r="J124" s="136">
        <f>I124*100/I124</f>
        <v>100</v>
      </c>
      <c r="K124" s="137">
        <f>D124-I124-L124</f>
        <v>0</v>
      </c>
      <c r="L124" s="137">
        <v>6386</v>
      </c>
      <c r="M124" s="86"/>
      <c r="N124" s="9"/>
    </row>
    <row r="125" spans="1:14" s="55" customFormat="1" ht="45">
      <c r="A125" s="69">
        <v>45</v>
      </c>
      <c r="B125" s="129" t="s">
        <v>573</v>
      </c>
      <c r="C125" s="130" t="s">
        <v>220</v>
      </c>
      <c r="D125" s="75"/>
      <c r="E125" s="333" t="s">
        <v>574</v>
      </c>
      <c r="F125" s="131"/>
      <c r="G125" s="72"/>
      <c r="H125" s="73"/>
      <c r="I125" s="73"/>
      <c r="J125" s="74"/>
      <c r="K125" s="75"/>
      <c r="L125" s="76"/>
      <c r="M125" s="76"/>
      <c r="N125" s="13" t="s">
        <v>556</v>
      </c>
    </row>
    <row r="126" spans="1:14" s="55" customFormat="1">
      <c r="A126" s="77"/>
      <c r="B126" s="78" t="s">
        <v>2</v>
      </c>
      <c r="C126" s="79"/>
      <c r="D126" s="80">
        <v>227500</v>
      </c>
      <c r="E126" s="334"/>
      <c r="F126" s="132"/>
      <c r="G126" s="82"/>
      <c r="H126" s="133"/>
      <c r="I126" s="135">
        <v>201370</v>
      </c>
      <c r="J126" s="136">
        <f>I126*100/I126</f>
        <v>100</v>
      </c>
      <c r="K126" s="137">
        <f>D126-I126-L126</f>
        <v>0</v>
      </c>
      <c r="L126" s="137">
        <v>26130</v>
      </c>
      <c r="M126" s="86"/>
      <c r="N126" s="9"/>
    </row>
    <row r="127" spans="1:14" s="55" customFormat="1" ht="67.5">
      <c r="A127" s="37">
        <v>46</v>
      </c>
      <c r="B127" s="97" t="s">
        <v>619</v>
      </c>
      <c r="C127" s="92" t="s">
        <v>50</v>
      </c>
      <c r="D127" s="39"/>
      <c r="E127" s="323" t="s">
        <v>291</v>
      </c>
      <c r="F127" s="94"/>
      <c r="G127" s="41"/>
      <c r="H127" s="95"/>
      <c r="I127" s="95"/>
      <c r="J127" s="43"/>
      <c r="K127" s="39"/>
      <c r="L127" s="44"/>
      <c r="M127" s="44"/>
      <c r="N127" s="8" t="s">
        <v>620</v>
      </c>
    </row>
    <row r="128" spans="1:14" s="55" customFormat="1">
      <c r="A128" s="46"/>
      <c r="B128" s="47" t="s">
        <v>2</v>
      </c>
      <c r="C128" s="48"/>
      <c r="D128" s="67">
        <v>2000000</v>
      </c>
      <c r="E128" s="332"/>
      <c r="F128" s="89"/>
      <c r="G128" s="51"/>
      <c r="H128" s="90"/>
      <c r="I128" s="145">
        <v>266300</v>
      </c>
      <c r="J128" s="146">
        <f>I128*100/D128</f>
        <v>13.315</v>
      </c>
      <c r="K128" s="68">
        <f>D128-I128</f>
        <v>1733700</v>
      </c>
      <c r="L128" s="576"/>
      <c r="M128" s="576"/>
      <c r="N128" s="9"/>
    </row>
    <row r="129" spans="1:14" s="55" customFormat="1" ht="45">
      <c r="A129" s="37">
        <v>47</v>
      </c>
      <c r="B129" s="97" t="s">
        <v>121</v>
      </c>
      <c r="C129" s="92" t="s">
        <v>122</v>
      </c>
      <c r="D129" s="39">
        <v>930700</v>
      </c>
      <c r="E129" s="323" t="s">
        <v>268</v>
      </c>
      <c r="F129" s="94"/>
      <c r="G129" s="41"/>
      <c r="H129" s="95"/>
      <c r="I129" s="198">
        <f>I130+I131</f>
        <v>930700</v>
      </c>
      <c r="J129" s="199">
        <f>I129*100/D129</f>
        <v>100</v>
      </c>
      <c r="K129" s="200">
        <f>D129-I129</f>
        <v>0</v>
      </c>
      <c r="L129" s="44"/>
      <c r="M129" s="44"/>
      <c r="N129" s="8" t="s">
        <v>136</v>
      </c>
    </row>
    <row r="130" spans="1:14" s="55" customFormat="1">
      <c r="A130" s="46"/>
      <c r="B130" s="47" t="s">
        <v>2</v>
      </c>
      <c r="C130" s="48"/>
      <c r="D130" s="67">
        <v>510380</v>
      </c>
      <c r="E130" s="332"/>
      <c r="F130" s="89"/>
      <c r="G130" s="51"/>
      <c r="H130" s="90"/>
      <c r="I130" s="145">
        <v>510380</v>
      </c>
      <c r="J130" s="146">
        <f>I130*100/D130</f>
        <v>100</v>
      </c>
      <c r="K130" s="68">
        <f>D130-I130</f>
        <v>0</v>
      </c>
      <c r="L130" s="576"/>
      <c r="M130" s="576"/>
      <c r="N130" s="9"/>
    </row>
    <row r="131" spans="1:14" s="55" customFormat="1">
      <c r="A131" s="46"/>
      <c r="B131" s="56" t="s">
        <v>3</v>
      </c>
      <c r="C131" s="48"/>
      <c r="D131" s="67">
        <v>420320</v>
      </c>
      <c r="E131" s="332"/>
      <c r="F131" s="89"/>
      <c r="G131" s="51"/>
      <c r="H131" s="90"/>
      <c r="I131" s="145">
        <v>420320</v>
      </c>
      <c r="J131" s="146">
        <f>I131*100/D131</f>
        <v>100</v>
      </c>
      <c r="K131" s="68">
        <f>D131-I131</f>
        <v>0</v>
      </c>
      <c r="L131" s="576"/>
      <c r="M131" s="576"/>
      <c r="N131" s="9"/>
    </row>
    <row r="132" spans="1:14" s="190" customFormat="1" ht="45" hidden="1">
      <c r="A132" s="113"/>
      <c r="B132" s="201" t="s">
        <v>332</v>
      </c>
      <c r="C132" s="202"/>
      <c r="D132" s="192">
        <v>50000</v>
      </c>
      <c r="E132" s="338"/>
      <c r="F132" s="116"/>
      <c r="G132" s="185"/>
      <c r="H132" s="186">
        <v>50000</v>
      </c>
      <c r="I132" s="186"/>
      <c r="J132" s="187"/>
      <c r="K132" s="188"/>
      <c r="L132" s="189"/>
      <c r="M132" s="189"/>
      <c r="N132" s="17"/>
    </row>
    <row r="133" spans="1:14" s="55" customFormat="1" hidden="1">
      <c r="A133" s="57"/>
      <c r="B133" s="150" t="s">
        <v>152</v>
      </c>
      <c r="C133" s="159"/>
      <c r="D133" s="151">
        <v>50000</v>
      </c>
      <c r="E133" s="325"/>
      <c r="F133" s="124"/>
      <c r="G133" s="138"/>
      <c r="H133" s="140">
        <v>50000</v>
      </c>
      <c r="I133" s="140"/>
      <c r="J133" s="63"/>
      <c r="K133" s="64"/>
      <c r="L133" s="139"/>
      <c r="M133" s="139"/>
      <c r="N133" s="9"/>
    </row>
    <row r="134" spans="1:14" s="55" customFormat="1" hidden="1">
      <c r="A134" s="57"/>
      <c r="B134" s="150" t="s">
        <v>153</v>
      </c>
      <c r="C134" s="159"/>
      <c r="D134" s="151">
        <v>30000</v>
      </c>
      <c r="E134" s="325"/>
      <c r="F134" s="124"/>
      <c r="G134" s="138"/>
      <c r="H134" s="140">
        <v>30000</v>
      </c>
      <c r="I134" s="140"/>
      <c r="J134" s="63"/>
      <c r="K134" s="64"/>
      <c r="L134" s="139"/>
      <c r="M134" s="139"/>
      <c r="N134" s="9"/>
    </row>
    <row r="135" spans="1:14" s="55" customFormat="1" hidden="1">
      <c r="A135" s="57"/>
      <c r="B135" s="150" t="s">
        <v>154</v>
      </c>
      <c r="C135" s="159"/>
      <c r="D135" s="151">
        <v>40000</v>
      </c>
      <c r="E135" s="325"/>
      <c r="F135" s="124"/>
      <c r="G135" s="138"/>
      <c r="H135" s="140">
        <v>40000</v>
      </c>
      <c r="I135" s="140"/>
      <c r="J135" s="63"/>
      <c r="K135" s="64"/>
      <c r="L135" s="139"/>
      <c r="M135" s="139"/>
      <c r="N135" s="9"/>
    </row>
    <row r="136" spans="1:14" s="55" customFormat="1" hidden="1">
      <c r="A136" s="57"/>
      <c r="B136" s="150" t="s">
        <v>155</v>
      </c>
      <c r="C136" s="159"/>
      <c r="D136" s="151">
        <v>28900</v>
      </c>
      <c r="E136" s="325"/>
      <c r="F136" s="124"/>
      <c r="G136" s="138"/>
      <c r="H136" s="140">
        <v>28900</v>
      </c>
      <c r="I136" s="140"/>
      <c r="J136" s="63"/>
      <c r="K136" s="64"/>
      <c r="L136" s="139"/>
      <c r="M136" s="139"/>
      <c r="N136" s="9"/>
    </row>
    <row r="137" spans="1:14" s="55" customFormat="1" hidden="1">
      <c r="A137" s="57"/>
      <c r="B137" s="150" t="s">
        <v>156</v>
      </c>
      <c r="C137" s="159"/>
      <c r="D137" s="151">
        <v>24720</v>
      </c>
      <c r="E137" s="325"/>
      <c r="F137" s="124"/>
      <c r="G137" s="138"/>
      <c r="H137" s="140">
        <v>24720</v>
      </c>
      <c r="I137" s="140"/>
      <c r="J137" s="63"/>
      <c r="K137" s="64"/>
      <c r="L137" s="139"/>
      <c r="M137" s="139"/>
      <c r="N137" s="9"/>
    </row>
    <row r="138" spans="1:14" s="55" customFormat="1" hidden="1">
      <c r="A138" s="57"/>
      <c r="B138" s="150" t="s">
        <v>157</v>
      </c>
      <c r="C138" s="159"/>
      <c r="D138" s="151">
        <v>29880</v>
      </c>
      <c r="E138" s="325"/>
      <c r="F138" s="124"/>
      <c r="G138" s="138"/>
      <c r="H138" s="140">
        <v>29880</v>
      </c>
      <c r="I138" s="140"/>
      <c r="J138" s="63"/>
      <c r="K138" s="64"/>
      <c r="L138" s="139"/>
      <c r="M138" s="139"/>
      <c r="N138" s="9"/>
    </row>
    <row r="139" spans="1:14" s="55" customFormat="1" hidden="1">
      <c r="A139" s="57"/>
      <c r="B139" s="150" t="s">
        <v>158</v>
      </c>
      <c r="C139" s="159"/>
      <c r="D139" s="151">
        <v>27720</v>
      </c>
      <c r="E139" s="325"/>
      <c r="F139" s="124"/>
      <c r="G139" s="138"/>
      <c r="H139" s="140">
        <v>27720</v>
      </c>
      <c r="I139" s="140"/>
      <c r="J139" s="63"/>
      <c r="K139" s="64"/>
      <c r="L139" s="139"/>
      <c r="M139" s="139"/>
      <c r="N139" s="9"/>
    </row>
    <row r="140" spans="1:14" s="190" customFormat="1" ht="45" hidden="1">
      <c r="A140" s="113"/>
      <c r="B140" s="121" t="s">
        <v>333</v>
      </c>
      <c r="C140" s="203"/>
      <c r="D140" s="192">
        <v>15000</v>
      </c>
      <c r="E140" s="330"/>
      <c r="F140" s="116"/>
      <c r="G140" s="185"/>
      <c r="H140" s="186">
        <v>15000</v>
      </c>
      <c r="I140" s="186"/>
      <c r="J140" s="187"/>
      <c r="K140" s="188"/>
      <c r="L140" s="189"/>
      <c r="M140" s="189"/>
      <c r="N140" s="17"/>
    </row>
    <row r="141" spans="1:14" s="55" customFormat="1" hidden="1">
      <c r="A141" s="57"/>
      <c r="B141" s="8" t="s">
        <v>124</v>
      </c>
      <c r="C141" s="204"/>
      <c r="D141" s="151">
        <v>29600</v>
      </c>
      <c r="E141" s="331"/>
      <c r="F141" s="124"/>
      <c r="G141" s="138"/>
      <c r="H141" s="140">
        <v>29600</v>
      </c>
      <c r="I141" s="140"/>
      <c r="J141" s="63"/>
      <c r="K141" s="64"/>
      <c r="L141" s="139"/>
      <c r="M141" s="139"/>
      <c r="N141" s="9"/>
    </row>
    <row r="142" spans="1:14" s="55" customFormat="1" hidden="1">
      <c r="A142" s="57"/>
      <c r="B142" s="8" t="s">
        <v>125</v>
      </c>
      <c r="C142" s="204"/>
      <c r="D142" s="151">
        <v>9500</v>
      </c>
      <c r="E142" s="331"/>
      <c r="F142" s="124"/>
      <c r="G142" s="138"/>
      <c r="H142" s="140">
        <v>9500</v>
      </c>
      <c r="I142" s="140"/>
      <c r="J142" s="63"/>
      <c r="K142" s="64"/>
      <c r="L142" s="139"/>
      <c r="M142" s="139"/>
      <c r="N142" s="9"/>
    </row>
    <row r="143" spans="1:14" s="55" customFormat="1" hidden="1">
      <c r="A143" s="57"/>
      <c r="B143" s="8" t="s">
        <v>126</v>
      </c>
      <c r="C143" s="204"/>
      <c r="D143" s="151">
        <v>72000</v>
      </c>
      <c r="E143" s="331"/>
      <c r="F143" s="124"/>
      <c r="G143" s="138"/>
      <c r="H143" s="140">
        <v>72000</v>
      </c>
      <c r="I143" s="140"/>
      <c r="J143" s="63"/>
      <c r="K143" s="64"/>
      <c r="L143" s="139"/>
      <c r="M143" s="139"/>
      <c r="N143" s="9"/>
    </row>
    <row r="144" spans="1:14" s="55" customFormat="1" ht="22.5" hidden="1" customHeight="1">
      <c r="A144" s="57"/>
      <c r="B144" s="8" t="s">
        <v>127</v>
      </c>
      <c r="C144" s="204"/>
      <c r="D144" s="151">
        <v>13000</v>
      </c>
      <c r="E144" s="331"/>
      <c r="F144" s="124"/>
      <c r="G144" s="138"/>
      <c r="H144" s="140">
        <v>13000</v>
      </c>
      <c r="I144" s="140"/>
      <c r="J144" s="63"/>
      <c r="K144" s="64"/>
      <c r="L144" s="139"/>
      <c r="M144" s="139"/>
      <c r="N144" s="9"/>
    </row>
    <row r="145" spans="1:14" s="55" customFormat="1" ht="34.5">
      <c r="A145" s="37"/>
      <c r="B145" s="97"/>
      <c r="C145" s="92" t="s">
        <v>128</v>
      </c>
      <c r="D145" s="39">
        <f>D146+D147</f>
        <v>983700</v>
      </c>
      <c r="E145" s="323" t="s">
        <v>266</v>
      </c>
      <c r="F145" s="94"/>
      <c r="G145" s="41"/>
      <c r="H145" s="95"/>
      <c r="I145" s="198">
        <f>I146+I147</f>
        <v>899700</v>
      </c>
      <c r="J145" s="199">
        <f>I145*100/I145</f>
        <v>100</v>
      </c>
      <c r="K145" s="200">
        <f>I145-I145</f>
        <v>0</v>
      </c>
      <c r="L145" s="44"/>
      <c r="M145" s="44"/>
      <c r="N145" s="8" t="s">
        <v>136</v>
      </c>
    </row>
    <row r="146" spans="1:14" s="55" customFormat="1">
      <c r="A146" s="46"/>
      <c r="B146" s="47" t="s">
        <v>2</v>
      </c>
      <c r="C146" s="48"/>
      <c r="D146" s="67">
        <v>753900</v>
      </c>
      <c r="E146" s="332"/>
      <c r="F146" s="89"/>
      <c r="G146" s="51"/>
      <c r="H146" s="90"/>
      <c r="I146" s="145">
        <v>669900</v>
      </c>
      <c r="J146" s="146">
        <f>I146*100/I146</f>
        <v>100</v>
      </c>
      <c r="K146" s="68">
        <f>I146-I146</f>
        <v>0</v>
      </c>
      <c r="L146" s="575">
        <f>D146-I146</f>
        <v>84000</v>
      </c>
      <c r="M146" s="576"/>
      <c r="N146" s="9"/>
    </row>
    <row r="147" spans="1:14" s="55" customFormat="1">
      <c r="A147" s="46"/>
      <c r="B147" s="56" t="s">
        <v>3</v>
      </c>
      <c r="C147" s="48"/>
      <c r="D147" s="67">
        <f>SUM(D148:D161)</f>
        <v>229800</v>
      </c>
      <c r="E147" s="332"/>
      <c r="F147" s="89"/>
      <c r="G147" s="51"/>
      <c r="H147" s="90"/>
      <c r="I147" s="145">
        <v>229800</v>
      </c>
      <c r="J147" s="146">
        <f>I147*100/D147</f>
        <v>100</v>
      </c>
      <c r="K147" s="68">
        <f>D147-I147</f>
        <v>0</v>
      </c>
      <c r="L147" s="576"/>
      <c r="M147" s="576"/>
      <c r="N147" s="9"/>
    </row>
    <row r="148" spans="1:14" s="55" customFormat="1" ht="45" hidden="1">
      <c r="A148" s="57"/>
      <c r="B148" s="8" t="s">
        <v>334</v>
      </c>
      <c r="C148" s="204"/>
      <c r="D148" s="151">
        <v>2500</v>
      </c>
      <c r="E148" s="331"/>
      <c r="F148" s="124">
        <v>241470</v>
      </c>
      <c r="G148" s="124">
        <v>241500</v>
      </c>
      <c r="H148" s="140">
        <v>2500</v>
      </c>
      <c r="I148" s="140"/>
      <c r="J148" s="63"/>
      <c r="K148" s="64"/>
      <c r="L148" s="139"/>
      <c r="M148" s="139"/>
      <c r="N148" s="9"/>
    </row>
    <row r="149" spans="1:14" s="55" customFormat="1" hidden="1">
      <c r="A149" s="57"/>
      <c r="B149" s="205" t="s">
        <v>123</v>
      </c>
      <c r="C149" s="159"/>
      <c r="D149" s="151"/>
      <c r="E149" s="331"/>
      <c r="F149" s="124"/>
      <c r="G149" s="138"/>
      <c r="H149" s="140"/>
      <c r="I149" s="140"/>
      <c r="J149" s="63"/>
      <c r="K149" s="64"/>
      <c r="L149" s="139"/>
      <c r="M149" s="139"/>
      <c r="N149" s="9"/>
    </row>
    <row r="150" spans="1:14" s="55" customFormat="1" ht="45" hidden="1">
      <c r="A150" s="57"/>
      <c r="B150" s="8" t="s">
        <v>145</v>
      </c>
      <c r="C150" s="204"/>
      <c r="D150" s="151">
        <v>14800</v>
      </c>
      <c r="E150" s="331"/>
      <c r="F150" s="124">
        <v>241470</v>
      </c>
      <c r="G150" s="124">
        <v>241500</v>
      </c>
      <c r="H150" s="140">
        <v>14800</v>
      </c>
      <c r="I150" s="140"/>
      <c r="J150" s="63"/>
      <c r="K150" s="64"/>
      <c r="L150" s="139"/>
      <c r="M150" s="139"/>
      <c r="N150" s="9"/>
    </row>
    <row r="151" spans="1:14" s="55" customFormat="1" ht="45" hidden="1">
      <c r="A151" s="57"/>
      <c r="B151" s="8" t="s">
        <v>146</v>
      </c>
      <c r="C151" s="204"/>
      <c r="D151" s="151">
        <v>22200</v>
      </c>
      <c r="E151" s="331"/>
      <c r="F151" s="124">
        <v>241470</v>
      </c>
      <c r="G151" s="124">
        <v>241500</v>
      </c>
      <c r="H151" s="140">
        <v>22200</v>
      </c>
      <c r="I151" s="140"/>
      <c r="J151" s="63"/>
      <c r="K151" s="64"/>
      <c r="L151" s="139"/>
      <c r="M151" s="139"/>
      <c r="N151" s="9"/>
    </row>
    <row r="152" spans="1:14" s="55" customFormat="1" ht="45" hidden="1">
      <c r="A152" s="57"/>
      <c r="B152" s="8" t="s">
        <v>147</v>
      </c>
      <c r="C152" s="204"/>
      <c r="D152" s="151">
        <v>47500</v>
      </c>
      <c r="E152" s="331"/>
      <c r="F152" s="124">
        <v>241470</v>
      </c>
      <c r="G152" s="124">
        <v>241500</v>
      </c>
      <c r="H152" s="140">
        <v>47500</v>
      </c>
      <c r="I152" s="140"/>
      <c r="J152" s="63"/>
      <c r="K152" s="64"/>
      <c r="L152" s="139"/>
      <c r="M152" s="139"/>
      <c r="N152" s="9"/>
    </row>
    <row r="153" spans="1:14" s="55" customFormat="1" ht="45" hidden="1">
      <c r="A153" s="57"/>
      <c r="B153" s="8" t="s">
        <v>148</v>
      </c>
      <c r="C153" s="204"/>
      <c r="D153" s="151">
        <v>11600</v>
      </c>
      <c r="E153" s="331"/>
      <c r="F153" s="124">
        <v>241470</v>
      </c>
      <c r="G153" s="124">
        <v>241500</v>
      </c>
      <c r="H153" s="140">
        <v>11600</v>
      </c>
      <c r="I153" s="140"/>
      <c r="J153" s="63"/>
      <c r="K153" s="64"/>
      <c r="L153" s="139"/>
      <c r="M153" s="139"/>
      <c r="N153" s="9"/>
    </row>
    <row r="154" spans="1:14" s="55" customFormat="1" ht="45" hidden="1">
      <c r="A154" s="57"/>
      <c r="B154" s="8" t="s">
        <v>149</v>
      </c>
      <c r="C154" s="204"/>
      <c r="D154" s="151">
        <v>29700</v>
      </c>
      <c r="E154" s="331"/>
      <c r="F154" s="124">
        <v>241470</v>
      </c>
      <c r="G154" s="124">
        <v>241500</v>
      </c>
      <c r="H154" s="140">
        <v>29700</v>
      </c>
      <c r="I154" s="140"/>
      <c r="J154" s="63"/>
      <c r="K154" s="64"/>
      <c r="L154" s="139"/>
      <c r="M154" s="139"/>
      <c r="N154" s="9"/>
    </row>
    <row r="155" spans="1:14" s="55" customFormat="1" ht="45" hidden="1">
      <c r="A155" s="57"/>
      <c r="B155" s="8" t="s">
        <v>150</v>
      </c>
      <c r="C155" s="204"/>
      <c r="D155" s="151">
        <v>46800</v>
      </c>
      <c r="E155" s="331"/>
      <c r="F155" s="124">
        <v>241470</v>
      </c>
      <c r="G155" s="124">
        <v>241500</v>
      </c>
      <c r="H155" s="140">
        <v>46800</v>
      </c>
      <c r="I155" s="140"/>
      <c r="J155" s="63"/>
      <c r="K155" s="64"/>
      <c r="L155" s="139"/>
      <c r="M155" s="139"/>
      <c r="N155" s="9"/>
    </row>
    <row r="156" spans="1:14" s="55" customFormat="1" ht="45" hidden="1">
      <c r="A156" s="57"/>
      <c r="B156" s="8" t="s">
        <v>151</v>
      </c>
      <c r="C156" s="204"/>
      <c r="D156" s="151">
        <v>8900</v>
      </c>
      <c r="E156" s="331"/>
      <c r="F156" s="124">
        <v>241470</v>
      </c>
      <c r="G156" s="124">
        <v>241500</v>
      </c>
      <c r="H156" s="140">
        <v>8900</v>
      </c>
      <c r="I156" s="140"/>
      <c r="J156" s="63"/>
      <c r="K156" s="64"/>
      <c r="L156" s="139"/>
      <c r="M156" s="139"/>
      <c r="N156" s="9"/>
    </row>
    <row r="157" spans="1:14" s="55" customFormat="1" ht="45" hidden="1">
      <c r="A157" s="57"/>
      <c r="B157" s="8" t="s">
        <v>183</v>
      </c>
      <c r="C157" s="204"/>
      <c r="D157" s="151">
        <v>15600</v>
      </c>
      <c r="E157" s="331"/>
      <c r="F157" s="124">
        <v>241470</v>
      </c>
      <c r="G157" s="124">
        <v>241500</v>
      </c>
      <c r="H157" s="140">
        <v>15600</v>
      </c>
      <c r="I157" s="140"/>
      <c r="J157" s="63"/>
      <c r="K157" s="64"/>
      <c r="L157" s="139"/>
      <c r="M157" s="139"/>
      <c r="N157" s="9"/>
    </row>
    <row r="158" spans="1:14" s="55" customFormat="1" ht="45" hidden="1">
      <c r="A158" s="57"/>
      <c r="B158" s="8" t="s">
        <v>184</v>
      </c>
      <c r="C158" s="204"/>
      <c r="D158" s="151">
        <v>4900</v>
      </c>
      <c r="E158" s="331"/>
      <c r="F158" s="124">
        <v>241470</v>
      </c>
      <c r="G158" s="124">
        <v>241500</v>
      </c>
      <c r="H158" s="140">
        <v>4900</v>
      </c>
      <c r="I158" s="140"/>
      <c r="J158" s="63"/>
      <c r="K158" s="64"/>
      <c r="L158" s="139"/>
      <c r="M158" s="139"/>
      <c r="N158" s="9"/>
    </row>
    <row r="159" spans="1:14" s="55" customFormat="1" ht="45" hidden="1">
      <c r="A159" s="57"/>
      <c r="B159" s="8" t="s">
        <v>185</v>
      </c>
      <c r="C159" s="204"/>
      <c r="D159" s="151">
        <v>7800</v>
      </c>
      <c r="E159" s="331"/>
      <c r="F159" s="124">
        <v>241470</v>
      </c>
      <c r="G159" s="124">
        <v>241500</v>
      </c>
      <c r="H159" s="140">
        <v>14800</v>
      </c>
      <c r="I159" s="140"/>
      <c r="J159" s="63"/>
      <c r="K159" s="64"/>
      <c r="L159" s="139"/>
      <c r="M159" s="139"/>
      <c r="N159" s="9"/>
    </row>
    <row r="160" spans="1:14" s="55" customFormat="1" ht="67.5" hidden="1">
      <c r="A160" s="57"/>
      <c r="B160" s="8" t="s">
        <v>186</v>
      </c>
      <c r="C160" s="204"/>
      <c r="D160" s="151">
        <v>15600</v>
      </c>
      <c r="E160" s="331"/>
      <c r="F160" s="124">
        <v>241470</v>
      </c>
      <c r="G160" s="124">
        <v>241500</v>
      </c>
      <c r="H160" s="140">
        <v>15600</v>
      </c>
      <c r="I160" s="140"/>
      <c r="J160" s="63"/>
      <c r="K160" s="64"/>
      <c r="L160" s="139"/>
      <c r="M160" s="139"/>
      <c r="N160" s="9"/>
    </row>
    <row r="161" spans="1:14" s="55" customFormat="1" ht="67.5" hidden="1">
      <c r="A161" s="57"/>
      <c r="B161" s="8" t="s">
        <v>187</v>
      </c>
      <c r="C161" s="204"/>
      <c r="D161" s="151">
        <v>1900</v>
      </c>
      <c r="E161" s="331"/>
      <c r="F161" s="124">
        <v>241470</v>
      </c>
      <c r="G161" s="124">
        <v>241500</v>
      </c>
      <c r="H161" s="140">
        <v>1900</v>
      </c>
      <c r="I161" s="140"/>
      <c r="J161" s="63"/>
      <c r="K161" s="64"/>
      <c r="L161" s="139"/>
      <c r="M161" s="139"/>
      <c r="N161" s="9"/>
    </row>
    <row r="162" spans="1:14" ht="45">
      <c r="A162" s="37">
        <v>48</v>
      </c>
      <c r="B162" s="100" t="s">
        <v>83</v>
      </c>
      <c r="C162" s="92" t="s">
        <v>299</v>
      </c>
      <c r="D162" s="101">
        <f>D163</f>
        <v>7840000</v>
      </c>
      <c r="E162" s="323" t="s">
        <v>267</v>
      </c>
      <c r="F162" s="40"/>
      <c r="G162" s="206"/>
      <c r="H162" s="42"/>
      <c r="I162" s="92"/>
      <c r="J162" s="102"/>
      <c r="K162" s="103">
        <f>H162-I162</f>
        <v>0</v>
      </c>
      <c r="L162" s="354"/>
      <c r="M162" s="103"/>
      <c r="N162" s="13"/>
    </row>
    <row r="163" spans="1:14" s="112" customFormat="1">
      <c r="A163" s="104"/>
      <c r="B163" s="163" t="s">
        <v>3</v>
      </c>
      <c r="C163" s="106"/>
      <c r="D163" s="107">
        <f>D164</f>
        <v>7840000</v>
      </c>
      <c r="E163" s="332"/>
      <c r="F163" s="207">
        <v>241467</v>
      </c>
      <c r="G163" s="208">
        <v>241687</v>
      </c>
      <c r="H163" s="209">
        <v>7140000</v>
      </c>
      <c r="I163" s="52">
        <v>7140000</v>
      </c>
      <c r="J163" s="210">
        <f>I163*100/I163</f>
        <v>100</v>
      </c>
      <c r="K163" s="162">
        <f>D163-I163-M163</f>
        <v>0</v>
      </c>
      <c r="L163" s="355"/>
      <c r="M163" s="357">
        <v>700000</v>
      </c>
      <c r="N163" s="11"/>
    </row>
    <row r="164" spans="1:14" s="91" customFormat="1" ht="67.5">
      <c r="A164" s="57"/>
      <c r="B164" s="8" t="s">
        <v>335</v>
      </c>
      <c r="C164" s="204"/>
      <c r="D164" s="211">
        <v>7840000</v>
      </c>
      <c r="E164" s="331"/>
      <c r="F164" s="124"/>
      <c r="G164" s="125"/>
      <c r="H164" s="122"/>
      <c r="I164" s="122"/>
      <c r="J164" s="127"/>
      <c r="K164" s="127"/>
      <c r="L164" s="127"/>
      <c r="M164" s="127"/>
      <c r="N164" s="8" t="s">
        <v>136</v>
      </c>
    </row>
    <row r="165" spans="1:14" ht="67.5">
      <c r="A165" s="37">
        <v>49</v>
      </c>
      <c r="B165" s="100" t="s">
        <v>348</v>
      </c>
      <c r="C165" s="92" t="s">
        <v>299</v>
      </c>
      <c r="D165" s="101">
        <f>D167</f>
        <v>19600000</v>
      </c>
      <c r="E165" s="323" t="s">
        <v>267</v>
      </c>
      <c r="F165" s="40"/>
      <c r="G165" s="94"/>
      <c r="H165" s="92"/>
      <c r="I165" s="92"/>
      <c r="J165" s="102"/>
      <c r="K165" s="103"/>
      <c r="L165" s="354"/>
      <c r="M165" s="354"/>
      <c r="N165" s="13"/>
    </row>
    <row r="166" spans="1:14" s="220" customFormat="1">
      <c r="A166" s="104"/>
      <c r="B166" s="212" t="s">
        <v>3</v>
      </c>
      <c r="C166" s="106"/>
      <c r="D166" s="213">
        <f>D167</f>
        <v>19600000</v>
      </c>
      <c r="E166" s="329"/>
      <c r="F166" s="214">
        <v>241491</v>
      </c>
      <c r="G166" s="215">
        <v>241851</v>
      </c>
      <c r="H166" s="216">
        <v>15671967.57</v>
      </c>
      <c r="I166" s="531">
        <v>4482182.7200000007</v>
      </c>
      <c r="J166" s="217">
        <f>I166*100/D166</f>
        <v>22.868279183673472</v>
      </c>
      <c r="K166" s="218">
        <f>H166-I166</f>
        <v>11189784.85</v>
      </c>
      <c r="L166" s="219"/>
      <c r="M166" s="111">
        <f>D166-H166</f>
        <v>3928032.4299999997</v>
      </c>
      <c r="N166" s="18"/>
    </row>
    <row r="167" spans="1:14" s="91" customFormat="1" ht="90">
      <c r="A167" s="57"/>
      <c r="B167" s="8" t="s">
        <v>537</v>
      </c>
      <c r="C167" s="204"/>
      <c r="D167" s="211">
        <v>19600000</v>
      </c>
      <c r="E167" s="331"/>
      <c r="F167" s="124"/>
      <c r="G167" s="125"/>
      <c r="H167" s="122"/>
      <c r="I167" s="122"/>
      <c r="J167" s="127"/>
      <c r="K167" s="127"/>
      <c r="L167" s="127"/>
      <c r="M167" s="127"/>
      <c r="N167" s="13" t="s">
        <v>499</v>
      </c>
    </row>
    <row r="168" spans="1:14" ht="45">
      <c r="A168" s="37">
        <v>50</v>
      </c>
      <c r="B168" s="100" t="s">
        <v>165</v>
      </c>
      <c r="C168" s="92" t="s">
        <v>299</v>
      </c>
      <c r="D168" s="101">
        <f>D169</f>
        <v>14700000</v>
      </c>
      <c r="E168" s="323" t="s">
        <v>267</v>
      </c>
      <c r="F168" s="40"/>
      <c r="G168" s="94"/>
      <c r="H168" s="92"/>
      <c r="I168" s="92"/>
      <c r="J168" s="102">
        <f>I168*100/D168</f>
        <v>0</v>
      </c>
      <c r="K168" s="103">
        <f>D168-I168</f>
        <v>14700000</v>
      </c>
      <c r="L168" s="354"/>
      <c r="M168" s="354"/>
      <c r="N168" s="381" t="s">
        <v>489</v>
      </c>
    </row>
    <row r="169" spans="1:14" s="112" customFormat="1">
      <c r="A169" s="104"/>
      <c r="B169" s="163" t="s">
        <v>3</v>
      </c>
      <c r="C169" s="106"/>
      <c r="D169" s="107">
        <f>D170</f>
        <v>14700000</v>
      </c>
      <c r="E169" s="329"/>
      <c r="F169" s="566">
        <v>241578</v>
      </c>
      <c r="G169" s="567">
        <v>241938</v>
      </c>
      <c r="H169" s="568">
        <v>9020067.5999999996</v>
      </c>
      <c r="I169" s="106"/>
      <c r="J169" s="161">
        <f>I169*100/D169</f>
        <v>0</v>
      </c>
      <c r="K169" s="162">
        <v>9020067.5999999996</v>
      </c>
      <c r="L169" s="110"/>
      <c r="M169" s="111">
        <f>D169-H169</f>
        <v>5679932.4000000004</v>
      </c>
      <c r="N169" s="18"/>
    </row>
    <row r="170" spans="1:14" s="91" customFormat="1" ht="166.5" customHeight="1">
      <c r="A170" s="57"/>
      <c r="B170" s="8" t="s">
        <v>336</v>
      </c>
      <c r="C170" s="204"/>
      <c r="D170" s="123">
        <v>14700000</v>
      </c>
      <c r="E170" s="331"/>
      <c r="F170" s="124"/>
      <c r="G170" s="125"/>
      <c r="H170" s="122"/>
      <c r="I170" s="122"/>
      <c r="J170" s="127"/>
      <c r="K170" s="127"/>
      <c r="L170" s="127"/>
      <c r="M170" s="127"/>
      <c r="N170" s="13" t="s">
        <v>534</v>
      </c>
    </row>
    <row r="171" spans="1:14" s="55" customFormat="1" ht="45">
      <c r="A171" s="69">
        <v>51</v>
      </c>
      <c r="B171" s="129" t="s">
        <v>222</v>
      </c>
      <c r="C171" s="130" t="s">
        <v>299</v>
      </c>
      <c r="D171" s="75"/>
      <c r="E171" s="333" t="s">
        <v>322</v>
      </c>
      <c r="F171" s="131"/>
      <c r="G171" s="72"/>
      <c r="H171" s="73"/>
      <c r="I171" s="73"/>
      <c r="J171" s="74"/>
      <c r="K171" s="75"/>
      <c r="L171" s="76"/>
      <c r="M171" s="76"/>
      <c r="N171" s="13"/>
    </row>
    <row r="172" spans="1:14" s="55" customFormat="1">
      <c r="A172" s="77"/>
      <c r="B172" s="157" t="s">
        <v>3</v>
      </c>
      <c r="C172" s="79"/>
      <c r="D172" s="80">
        <v>1420000</v>
      </c>
      <c r="E172" s="334"/>
      <c r="F172" s="132">
        <v>241577</v>
      </c>
      <c r="G172" s="527">
        <v>241697</v>
      </c>
      <c r="H172" s="133">
        <v>1310000</v>
      </c>
      <c r="I172" s="133">
        <v>655000</v>
      </c>
      <c r="J172" s="134">
        <f>I172*100/D172</f>
        <v>46.12676056338028</v>
      </c>
      <c r="K172" s="85">
        <v>1310000</v>
      </c>
      <c r="L172" s="86"/>
      <c r="M172" s="528">
        <f>D172-H172</f>
        <v>110000</v>
      </c>
      <c r="N172" s="9"/>
    </row>
    <row r="173" spans="1:14" s="55" customFormat="1" ht="86.25" customHeight="1">
      <c r="A173" s="57"/>
      <c r="B173" s="150" t="s">
        <v>519</v>
      </c>
      <c r="C173" s="159"/>
      <c r="D173" s="151"/>
      <c r="E173" s="325"/>
      <c r="F173" s="124"/>
      <c r="G173" s="138"/>
      <c r="H173" s="140"/>
      <c r="I173" s="140"/>
      <c r="J173" s="63"/>
      <c r="K173" s="64"/>
      <c r="L173" s="139"/>
      <c r="M173" s="139"/>
      <c r="N173" s="13" t="s">
        <v>542</v>
      </c>
    </row>
    <row r="174" spans="1:14" s="55" customFormat="1" ht="67.5">
      <c r="A174" s="69">
        <v>52</v>
      </c>
      <c r="B174" s="129" t="s">
        <v>420</v>
      </c>
      <c r="C174" s="130" t="s">
        <v>299</v>
      </c>
      <c r="D174" s="75"/>
      <c r="E174" s="333" t="s">
        <v>314</v>
      </c>
      <c r="F174" s="131"/>
      <c r="G174" s="72"/>
      <c r="H174" s="73"/>
      <c r="I174" s="73"/>
      <c r="J174" s="74"/>
      <c r="K174" s="75"/>
      <c r="L174" s="76"/>
      <c r="M174" s="76"/>
      <c r="N174" s="13"/>
    </row>
    <row r="175" spans="1:14" s="55" customFormat="1">
      <c r="A175" s="77"/>
      <c r="B175" s="157" t="s">
        <v>3</v>
      </c>
      <c r="C175" s="79"/>
      <c r="D175" s="80">
        <v>3500000</v>
      </c>
      <c r="E175" s="334"/>
      <c r="F175" s="132">
        <v>241569</v>
      </c>
      <c r="G175" s="132">
        <v>241749</v>
      </c>
      <c r="H175" s="133">
        <v>3039900</v>
      </c>
      <c r="I175" s="133">
        <v>455985</v>
      </c>
      <c r="J175" s="134">
        <f>I175*100/D175</f>
        <v>13.028142857142857</v>
      </c>
      <c r="K175" s="85">
        <f>H175-I175</f>
        <v>2583915</v>
      </c>
      <c r="L175" s="86"/>
      <c r="M175" s="528">
        <f>D175-H175</f>
        <v>460100</v>
      </c>
      <c r="N175" s="9"/>
    </row>
    <row r="176" spans="1:14" s="55" customFormat="1" ht="180">
      <c r="A176" s="57"/>
      <c r="B176" s="150" t="s">
        <v>301</v>
      </c>
      <c r="C176" s="159"/>
      <c r="D176" s="151"/>
      <c r="E176" s="325"/>
      <c r="F176" s="124"/>
      <c r="G176" s="138"/>
      <c r="H176" s="140"/>
      <c r="I176" s="140"/>
      <c r="J176" s="63"/>
      <c r="K176" s="64"/>
      <c r="L176" s="139"/>
      <c r="M176" s="139"/>
      <c r="N176" s="13" t="s">
        <v>531</v>
      </c>
    </row>
    <row r="177" spans="1:14" ht="45">
      <c r="A177" s="229">
        <v>53</v>
      </c>
      <c r="B177" s="230" t="s">
        <v>298</v>
      </c>
      <c r="C177" s="231" t="s">
        <v>299</v>
      </c>
      <c r="D177" s="232"/>
      <c r="E177" s="341" t="s">
        <v>302</v>
      </c>
      <c r="F177" s="233"/>
      <c r="G177" s="234"/>
      <c r="H177" s="231"/>
      <c r="I177" s="231"/>
      <c r="J177" s="235"/>
      <c r="K177" s="236"/>
      <c r="L177" s="358"/>
      <c r="M177" s="358"/>
      <c r="N177" s="382"/>
    </row>
    <row r="178" spans="1:14" s="112" customFormat="1">
      <c r="A178" s="237"/>
      <c r="B178" s="238" t="s">
        <v>3</v>
      </c>
      <c r="C178" s="239"/>
      <c r="D178" s="240">
        <f>D179</f>
        <v>17000000</v>
      </c>
      <c r="E178" s="342"/>
      <c r="F178" s="543">
        <v>241577</v>
      </c>
      <c r="G178" s="242">
        <v>241937</v>
      </c>
      <c r="H178" s="544">
        <v>13700000</v>
      </c>
      <c r="I178" s="664">
        <v>2055000</v>
      </c>
      <c r="J178" s="243">
        <f>I178*100/D178</f>
        <v>12.088235294117647</v>
      </c>
      <c r="K178" s="244">
        <f>H178-I178</f>
        <v>11645000</v>
      </c>
      <c r="L178" s="359"/>
      <c r="M178" s="545">
        <f>D178-H178</f>
        <v>3300000</v>
      </c>
      <c r="N178" s="11"/>
    </row>
    <row r="179" spans="1:14" s="91" customFormat="1" ht="157.5">
      <c r="A179" s="556"/>
      <c r="B179" s="557" t="s">
        <v>421</v>
      </c>
      <c r="C179" s="558"/>
      <c r="D179" s="559">
        <v>17000000</v>
      </c>
      <c r="E179" s="560"/>
      <c r="F179" s="561"/>
      <c r="G179" s="562"/>
      <c r="H179" s="563"/>
      <c r="I179" s="563"/>
      <c r="J179" s="564"/>
      <c r="K179" s="564"/>
      <c r="L179" s="564"/>
      <c r="M179" s="564"/>
      <c r="N179" s="565" t="s">
        <v>532</v>
      </c>
    </row>
    <row r="180" spans="1:14" s="91" customFormat="1" ht="216" customHeight="1">
      <c r="A180" s="546"/>
      <c r="B180" s="547"/>
      <c r="C180" s="548"/>
      <c r="D180" s="549"/>
      <c r="E180" s="550"/>
      <c r="F180" s="551"/>
      <c r="G180" s="552"/>
      <c r="H180" s="553"/>
      <c r="I180" s="553"/>
      <c r="J180" s="554"/>
      <c r="K180" s="554"/>
      <c r="L180" s="554"/>
      <c r="M180" s="554"/>
      <c r="N180" s="555" t="s">
        <v>533</v>
      </c>
    </row>
    <row r="181" spans="1:14" ht="67.5">
      <c r="A181" s="229">
        <v>54</v>
      </c>
      <c r="B181" s="230" t="s">
        <v>500</v>
      </c>
      <c r="C181" s="231" t="s">
        <v>299</v>
      </c>
      <c r="D181" s="232"/>
      <c r="E181" s="341" t="s">
        <v>520</v>
      </c>
      <c r="F181" s="233"/>
      <c r="G181" s="234"/>
      <c r="H181" s="231"/>
      <c r="I181" s="231"/>
      <c r="J181" s="235"/>
      <c r="K181" s="236"/>
      <c r="L181" s="358"/>
      <c r="M181" s="358"/>
      <c r="N181" s="382"/>
    </row>
    <row r="182" spans="1:14" s="112" customFormat="1">
      <c r="A182" s="237"/>
      <c r="B182" s="238" t="s">
        <v>3</v>
      </c>
      <c r="C182" s="239"/>
      <c r="D182" s="240">
        <v>8400000</v>
      </c>
      <c r="E182" s="342"/>
      <c r="F182" s="241">
        <v>241674</v>
      </c>
      <c r="G182" s="242">
        <v>241913</v>
      </c>
      <c r="H182" s="664">
        <v>7890000</v>
      </c>
      <c r="I182" s="664">
        <v>1183500</v>
      </c>
      <c r="J182" s="243">
        <f>I182*100/D182</f>
        <v>14.089285714285714</v>
      </c>
      <c r="K182" s="244">
        <f>H182-I182</f>
        <v>6706500</v>
      </c>
      <c r="L182" s="359"/>
      <c r="M182" s="545">
        <f>D182-H182</f>
        <v>510000</v>
      </c>
      <c r="N182" s="11"/>
    </row>
    <row r="183" spans="1:14" s="91" customFormat="1" ht="67.5">
      <c r="A183" s="57"/>
      <c r="B183" s="8" t="s">
        <v>501</v>
      </c>
      <c r="C183" s="204"/>
      <c r="D183" s="123">
        <v>8400000</v>
      </c>
      <c r="E183" s="331"/>
      <c r="F183" s="124"/>
      <c r="G183" s="125"/>
      <c r="H183" s="122"/>
      <c r="I183" s="122"/>
      <c r="J183" s="127"/>
      <c r="K183" s="127"/>
      <c r="L183" s="127"/>
      <c r="M183" s="127"/>
      <c r="N183" s="13" t="s">
        <v>621</v>
      </c>
    </row>
    <row r="184" spans="1:14" ht="90">
      <c r="A184" s="229">
        <v>55</v>
      </c>
      <c r="B184" s="230" t="s">
        <v>511</v>
      </c>
      <c r="C184" s="231" t="s">
        <v>299</v>
      </c>
      <c r="D184" s="232"/>
      <c r="E184" s="341" t="s">
        <v>521</v>
      </c>
      <c r="F184" s="233"/>
      <c r="G184" s="234"/>
      <c r="H184" s="231"/>
      <c r="I184" s="231"/>
      <c r="J184" s="235"/>
      <c r="K184" s="236"/>
      <c r="L184" s="358"/>
      <c r="M184" s="358"/>
      <c r="N184" s="13"/>
    </row>
    <row r="185" spans="1:14" s="112" customFormat="1">
      <c r="A185" s="237"/>
      <c r="B185" s="238" t="s">
        <v>3</v>
      </c>
      <c r="C185" s="239"/>
      <c r="D185" s="240">
        <v>13000000</v>
      </c>
      <c r="E185" s="342"/>
      <c r="F185" s="241"/>
      <c r="G185" s="242"/>
      <c r="H185" s="664"/>
      <c r="I185" s="239"/>
      <c r="J185" s="243">
        <f>I185*100/D185</f>
        <v>0</v>
      </c>
      <c r="K185" s="244">
        <f>D185</f>
        <v>13000000</v>
      </c>
      <c r="L185" s="359"/>
      <c r="M185" s="545"/>
      <c r="N185" s="11"/>
    </row>
    <row r="186" spans="1:14" s="91" customFormat="1" ht="112.5">
      <c r="A186" s="57"/>
      <c r="B186" s="8" t="s">
        <v>536</v>
      </c>
      <c r="C186" s="204"/>
      <c r="D186" s="123">
        <v>13000000</v>
      </c>
      <c r="E186" s="331"/>
      <c r="F186" s="124"/>
      <c r="G186" s="125"/>
      <c r="H186" s="122"/>
      <c r="I186" s="122"/>
      <c r="J186" s="127"/>
      <c r="K186" s="127"/>
      <c r="L186" s="127"/>
      <c r="M186" s="127"/>
      <c r="N186" s="13" t="s">
        <v>558</v>
      </c>
    </row>
    <row r="187" spans="1:14" s="55" customFormat="1" ht="45">
      <c r="A187" s="69">
        <v>56</v>
      </c>
      <c r="B187" s="129" t="s">
        <v>615</v>
      </c>
      <c r="C187" s="130" t="s">
        <v>299</v>
      </c>
      <c r="D187" s="75"/>
      <c r="E187" s="333" t="s">
        <v>314</v>
      </c>
      <c r="F187" s="131"/>
      <c r="G187" s="72"/>
      <c r="H187" s="73"/>
      <c r="I187" s="73"/>
      <c r="J187" s="74"/>
      <c r="K187" s="75"/>
      <c r="L187" s="76"/>
      <c r="M187" s="76"/>
      <c r="N187" s="127"/>
    </row>
    <row r="188" spans="1:14" s="55" customFormat="1">
      <c r="A188" s="77"/>
      <c r="B188" s="157" t="s">
        <v>3</v>
      </c>
      <c r="C188" s="79"/>
      <c r="D188" s="80">
        <v>13000000</v>
      </c>
      <c r="E188" s="334"/>
      <c r="F188" s="132">
        <v>241663</v>
      </c>
      <c r="G188" s="82">
        <v>242022</v>
      </c>
      <c r="H188" s="133">
        <v>10420000</v>
      </c>
      <c r="I188" s="133"/>
      <c r="J188" s="134">
        <f>I188*100/D188</f>
        <v>0</v>
      </c>
      <c r="K188" s="85">
        <f>H188</f>
        <v>10420000</v>
      </c>
      <c r="L188" s="86"/>
      <c r="M188" s="528">
        <f>D188-H188</f>
        <v>2580000</v>
      </c>
      <c r="N188" s="9"/>
    </row>
    <row r="189" spans="1:14" s="55" customFormat="1" ht="67.5">
      <c r="A189" s="57"/>
      <c r="B189" s="150" t="s">
        <v>229</v>
      </c>
      <c r="C189" s="159"/>
      <c r="D189" s="151"/>
      <c r="E189" s="325"/>
      <c r="F189" s="124"/>
      <c r="G189" s="138"/>
      <c r="H189" s="140"/>
      <c r="I189" s="140"/>
      <c r="J189" s="63"/>
      <c r="K189" s="64"/>
      <c r="L189" s="139"/>
      <c r="M189" s="139"/>
      <c r="N189" s="13" t="s">
        <v>627</v>
      </c>
    </row>
    <row r="190" spans="1:14" s="55" customFormat="1" ht="67.5">
      <c r="A190" s="69">
        <v>57</v>
      </c>
      <c r="B190" s="129" t="s">
        <v>593</v>
      </c>
      <c r="C190" s="130" t="s">
        <v>299</v>
      </c>
      <c r="D190" s="75"/>
      <c r="E190" s="333" t="s">
        <v>609</v>
      </c>
      <c r="F190" s="131"/>
      <c r="G190" s="72"/>
      <c r="H190" s="73"/>
      <c r="I190" s="73"/>
      <c r="J190" s="74"/>
      <c r="K190" s="75"/>
      <c r="L190" s="76"/>
      <c r="M190" s="76"/>
      <c r="N190" s="536" t="s">
        <v>614</v>
      </c>
    </row>
    <row r="191" spans="1:14" s="55" customFormat="1">
      <c r="A191" s="77"/>
      <c r="B191" s="157" t="s">
        <v>3</v>
      </c>
      <c r="C191" s="79"/>
      <c r="D191" s="80">
        <v>9800000</v>
      </c>
      <c r="E191" s="334"/>
      <c r="F191" s="132"/>
      <c r="G191" s="82"/>
      <c r="H191" s="133">
        <v>8754000</v>
      </c>
      <c r="I191" s="133"/>
      <c r="J191" s="134">
        <f>I191*100/D191</f>
        <v>0</v>
      </c>
      <c r="K191" s="85">
        <f>D191-I191-M191</f>
        <v>8754000</v>
      </c>
      <c r="L191" s="86"/>
      <c r="M191" s="528">
        <f>D191-H191</f>
        <v>1046000</v>
      </c>
      <c r="N191" s="9"/>
    </row>
    <row r="192" spans="1:14" s="55" customFormat="1" ht="67.5">
      <c r="A192" s="57"/>
      <c r="B192" s="150" t="s">
        <v>594</v>
      </c>
      <c r="C192" s="159"/>
      <c r="D192" s="151"/>
      <c r="E192" s="325"/>
      <c r="F192" s="124"/>
      <c r="G192" s="138"/>
      <c r="H192" s="140"/>
      <c r="I192" s="140"/>
      <c r="J192" s="63"/>
      <c r="K192" s="64"/>
      <c r="L192" s="139"/>
      <c r="M192" s="139"/>
      <c r="N192" s="13"/>
    </row>
    <row r="193" spans="1:15" s="55" customFormat="1" ht="90">
      <c r="A193" s="69">
        <v>58</v>
      </c>
      <c r="B193" s="129" t="s">
        <v>223</v>
      </c>
      <c r="C193" s="130" t="s">
        <v>224</v>
      </c>
      <c r="D193" s="75"/>
      <c r="E193" s="333" t="s">
        <v>315</v>
      </c>
      <c r="F193" s="131"/>
      <c r="G193" s="72"/>
      <c r="H193" s="73"/>
      <c r="I193" s="73"/>
      <c r="J193" s="74"/>
      <c r="K193" s="75"/>
      <c r="L193" s="76"/>
      <c r="M193" s="76"/>
      <c r="N193" s="9"/>
    </row>
    <row r="194" spans="1:15" s="55" customFormat="1">
      <c r="A194" s="77"/>
      <c r="B194" s="78" t="s">
        <v>2</v>
      </c>
      <c r="C194" s="79"/>
      <c r="D194" s="80">
        <v>2643100</v>
      </c>
      <c r="E194" s="334"/>
      <c r="F194" s="132"/>
      <c r="G194" s="82"/>
      <c r="H194" s="133"/>
      <c r="I194" s="133">
        <v>2423130</v>
      </c>
      <c r="J194" s="134">
        <f>I194*100/I194</f>
        <v>100</v>
      </c>
      <c r="K194" s="85">
        <f>D194-I194-L194</f>
        <v>0</v>
      </c>
      <c r="L194" s="137">
        <v>219970</v>
      </c>
      <c r="M194" s="86"/>
      <c r="N194" s="8" t="s">
        <v>217</v>
      </c>
    </row>
    <row r="195" spans="1:15" s="245" customFormat="1" ht="45">
      <c r="A195" s="37">
        <v>59</v>
      </c>
      <c r="B195" s="100" t="s">
        <v>349</v>
      </c>
      <c r="C195" s="92" t="s">
        <v>68</v>
      </c>
      <c r="D195" s="101">
        <f>D196</f>
        <v>5208000</v>
      </c>
      <c r="E195" s="323" t="s">
        <v>263</v>
      </c>
      <c r="F195" s="40"/>
      <c r="G195" s="94"/>
      <c r="H195" s="92"/>
      <c r="I195" s="92"/>
      <c r="J195" s="102">
        <f t="shared" ref="J195:J203" si="4">I195*100/D195</f>
        <v>0</v>
      </c>
      <c r="K195" s="103"/>
      <c r="L195" s="354"/>
      <c r="M195" s="354"/>
      <c r="N195" s="13"/>
    </row>
    <row r="196" spans="1:15" s="167" customFormat="1">
      <c r="A196" s="104"/>
      <c r="B196" s="163" t="s">
        <v>3</v>
      </c>
      <c r="C196" s="106"/>
      <c r="D196" s="107">
        <f>SUM(D197:D203)</f>
        <v>5208000</v>
      </c>
      <c r="E196" s="329"/>
      <c r="F196" s="108"/>
      <c r="G196" s="109"/>
      <c r="H196" s="111">
        <f>H197+H198+H199+H200+H201+H202+H203</f>
        <v>3886080</v>
      </c>
      <c r="I196" s="111">
        <f>I197+I198+I199+I200+I201+I202+I203</f>
        <v>1160000</v>
      </c>
      <c r="J196" s="161">
        <f t="shared" si="4"/>
        <v>22.273425499231951</v>
      </c>
      <c r="K196" s="162">
        <f>H196-I196</f>
        <v>2726080</v>
      </c>
      <c r="L196" s="355"/>
      <c r="M196" s="355"/>
      <c r="N196" s="537"/>
    </row>
    <row r="197" spans="1:15" s="167" customFormat="1" ht="45">
      <c r="A197" s="113"/>
      <c r="B197" s="246" t="s">
        <v>337</v>
      </c>
      <c r="C197" s="202"/>
      <c r="D197" s="247">
        <v>880000</v>
      </c>
      <c r="E197" s="343"/>
      <c r="F197" s="248">
        <v>22362</v>
      </c>
      <c r="G197" s="248">
        <v>22407</v>
      </c>
      <c r="H197" s="249">
        <v>760000</v>
      </c>
      <c r="I197" s="249">
        <v>760000</v>
      </c>
      <c r="J197" s="118">
        <f>I197*100/I197</f>
        <v>100</v>
      </c>
      <c r="K197" s="250">
        <f>H197-I197</f>
        <v>0</v>
      </c>
      <c r="L197" s="250"/>
      <c r="M197" s="250">
        <f>D197-H197</f>
        <v>120000</v>
      </c>
      <c r="N197" s="11"/>
    </row>
    <row r="198" spans="1:15" s="91" customFormat="1">
      <c r="A198" s="57"/>
      <c r="B198" s="8" t="s">
        <v>69</v>
      </c>
      <c r="C198" s="204"/>
      <c r="D198" s="378">
        <v>400000</v>
      </c>
      <c r="E198" s="331"/>
      <c r="F198" s="124">
        <v>241516</v>
      </c>
      <c r="G198" s="124">
        <v>241561</v>
      </c>
      <c r="H198" s="140">
        <v>400000</v>
      </c>
      <c r="I198" s="140">
        <v>400000</v>
      </c>
      <c r="J198" s="126">
        <f t="shared" si="4"/>
        <v>100</v>
      </c>
      <c r="K198" s="252">
        <f>D198-I198</f>
        <v>0</v>
      </c>
      <c r="L198" s="127"/>
      <c r="M198" s="127"/>
      <c r="N198" s="13"/>
    </row>
    <row r="199" spans="1:15" s="120" customFormat="1">
      <c r="A199" s="113"/>
      <c r="B199" s="121" t="s">
        <v>70</v>
      </c>
      <c r="C199" s="203"/>
      <c r="D199" s="251">
        <v>360000</v>
      </c>
      <c r="E199" s="330"/>
      <c r="F199" s="248">
        <v>22362</v>
      </c>
      <c r="G199" s="248">
        <v>22407</v>
      </c>
      <c r="H199" s="186">
        <v>301600</v>
      </c>
      <c r="I199" s="114"/>
      <c r="J199" s="126">
        <f t="shared" si="4"/>
        <v>0</v>
      </c>
      <c r="K199" s="252">
        <f>H199-I199</f>
        <v>301600</v>
      </c>
      <c r="L199" s="119"/>
      <c r="M199" s="250">
        <f>D199-H199</f>
        <v>58400</v>
      </c>
      <c r="N199" s="11" t="s">
        <v>622</v>
      </c>
    </row>
    <row r="200" spans="1:15" s="120" customFormat="1">
      <c r="A200" s="113"/>
      <c r="B200" s="121" t="s">
        <v>71</v>
      </c>
      <c r="C200" s="203"/>
      <c r="D200" s="251">
        <v>280000</v>
      </c>
      <c r="E200" s="330"/>
      <c r="F200" s="248">
        <v>22362</v>
      </c>
      <c r="G200" s="248">
        <v>22407</v>
      </c>
      <c r="H200" s="186">
        <v>231200</v>
      </c>
      <c r="I200" s="114"/>
      <c r="J200" s="126">
        <f t="shared" si="4"/>
        <v>0</v>
      </c>
      <c r="K200" s="252">
        <f t="shared" ref="K200:K204" si="5">D200-I200</f>
        <v>280000</v>
      </c>
      <c r="L200" s="119"/>
      <c r="M200" s="250">
        <f>D200-H200</f>
        <v>48800</v>
      </c>
      <c r="N200" s="11" t="s">
        <v>622</v>
      </c>
      <c r="O200" s="666"/>
    </row>
    <row r="201" spans="1:15" s="120" customFormat="1">
      <c r="A201" s="113"/>
      <c r="B201" s="121" t="s">
        <v>72</v>
      </c>
      <c r="C201" s="203"/>
      <c r="D201" s="251">
        <v>528000</v>
      </c>
      <c r="E201" s="330"/>
      <c r="F201" s="248">
        <v>22362</v>
      </c>
      <c r="G201" s="248">
        <v>22407</v>
      </c>
      <c r="H201" s="186">
        <v>171200</v>
      </c>
      <c r="I201" s="114"/>
      <c r="J201" s="126">
        <f t="shared" si="4"/>
        <v>0</v>
      </c>
      <c r="K201" s="252">
        <f t="shared" si="5"/>
        <v>528000</v>
      </c>
      <c r="L201" s="119"/>
      <c r="M201" s="250">
        <f>D201-H201</f>
        <v>356800</v>
      </c>
      <c r="N201" s="11" t="s">
        <v>622</v>
      </c>
      <c r="O201" s="665"/>
    </row>
    <row r="202" spans="1:15" s="91" customFormat="1">
      <c r="A202" s="57"/>
      <c r="B202" s="8" t="s">
        <v>73</v>
      </c>
      <c r="C202" s="204"/>
      <c r="D202" s="378">
        <v>1500000</v>
      </c>
      <c r="E202" s="331"/>
      <c r="F202" s="124">
        <v>241516</v>
      </c>
      <c r="G202" s="124">
        <v>241561</v>
      </c>
      <c r="H202" s="140">
        <v>1151040</v>
      </c>
      <c r="I202" s="122"/>
      <c r="J202" s="126">
        <f t="shared" si="4"/>
        <v>0</v>
      </c>
      <c r="K202" s="252">
        <f>H202-I202</f>
        <v>1151040</v>
      </c>
      <c r="L202" s="127"/>
      <c r="M202" s="64">
        <f>D202-H202</f>
        <v>348960</v>
      </c>
      <c r="N202" s="11" t="s">
        <v>622</v>
      </c>
    </row>
    <row r="203" spans="1:15" s="120" customFormat="1">
      <c r="A203" s="113"/>
      <c r="B203" s="121" t="s">
        <v>74</v>
      </c>
      <c r="C203" s="203"/>
      <c r="D203" s="251">
        <v>1260000</v>
      </c>
      <c r="E203" s="330"/>
      <c r="F203" s="248">
        <v>22362</v>
      </c>
      <c r="G203" s="248">
        <v>22407</v>
      </c>
      <c r="H203" s="186">
        <v>871040</v>
      </c>
      <c r="I203" s="114"/>
      <c r="J203" s="126">
        <f t="shared" si="4"/>
        <v>0</v>
      </c>
      <c r="K203" s="252">
        <f>H203-I203</f>
        <v>871040</v>
      </c>
      <c r="L203" s="119"/>
      <c r="M203" s="250">
        <f>D203-H203</f>
        <v>388960</v>
      </c>
      <c r="N203" s="11" t="s">
        <v>622</v>
      </c>
    </row>
    <row r="204" spans="1:15" ht="45">
      <c r="A204" s="253">
        <v>60</v>
      </c>
      <c r="B204" s="230" t="s">
        <v>300</v>
      </c>
      <c r="C204" s="231" t="s">
        <v>68</v>
      </c>
      <c r="D204" s="232"/>
      <c r="E204" s="341" t="s">
        <v>302</v>
      </c>
      <c r="F204" s="233"/>
      <c r="G204" s="234"/>
      <c r="H204" s="231"/>
      <c r="I204" s="231"/>
      <c r="J204" s="235"/>
      <c r="K204" s="236">
        <f t="shared" si="5"/>
        <v>0</v>
      </c>
      <c r="L204" s="358"/>
      <c r="M204" s="358"/>
      <c r="N204" s="13"/>
    </row>
    <row r="205" spans="1:15" s="112" customFormat="1">
      <c r="A205" s="237"/>
      <c r="B205" s="238" t="s">
        <v>3</v>
      </c>
      <c r="C205" s="239"/>
      <c r="D205" s="240">
        <f>D206+D207+D208</f>
        <v>10625000</v>
      </c>
      <c r="E205" s="342"/>
      <c r="F205" s="241"/>
      <c r="G205" s="242"/>
      <c r="H205" s="239"/>
      <c r="I205" s="670">
        <f>I206+I207+I208</f>
        <v>9575800</v>
      </c>
      <c r="J205" s="243">
        <v>100</v>
      </c>
      <c r="K205" s="244">
        <f>D205-I205-M206-M207</f>
        <v>0</v>
      </c>
      <c r="L205" s="359"/>
      <c r="M205" s="359"/>
      <c r="N205" s="11"/>
    </row>
    <row r="206" spans="1:15" s="120" customFormat="1" ht="45">
      <c r="A206" s="113"/>
      <c r="B206" s="121" t="s">
        <v>505</v>
      </c>
      <c r="C206" s="203"/>
      <c r="D206" s="115">
        <v>5000000</v>
      </c>
      <c r="E206" s="330"/>
      <c r="F206" s="116">
        <v>241578</v>
      </c>
      <c r="G206" s="116">
        <v>241668</v>
      </c>
      <c r="H206" s="186">
        <v>4995800</v>
      </c>
      <c r="I206" s="186">
        <v>4995800</v>
      </c>
      <c r="J206" s="118">
        <f>I206*100/I206</f>
        <v>100</v>
      </c>
      <c r="K206" s="250">
        <f>H206-I206</f>
        <v>0</v>
      </c>
      <c r="L206" s="119"/>
      <c r="M206" s="250">
        <f>D206-H206</f>
        <v>4200</v>
      </c>
      <c r="N206" s="121" t="s">
        <v>136</v>
      </c>
    </row>
    <row r="207" spans="1:15" s="91" customFormat="1">
      <c r="A207" s="57"/>
      <c r="B207" s="8" t="s">
        <v>507</v>
      </c>
      <c r="C207" s="204"/>
      <c r="D207" s="378">
        <v>5125000</v>
      </c>
      <c r="E207" s="331"/>
      <c r="F207" s="124">
        <v>241578</v>
      </c>
      <c r="G207" s="124">
        <v>241668</v>
      </c>
      <c r="H207" s="569">
        <v>4080000</v>
      </c>
      <c r="I207" s="569">
        <v>4080000</v>
      </c>
      <c r="J207" s="126">
        <f>I207*100/I207</f>
        <v>100</v>
      </c>
      <c r="K207" s="252">
        <f>H207-I207</f>
        <v>0</v>
      </c>
      <c r="L207" s="127"/>
      <c r="M207" s="252">
        <f>D207-H207</f>
        <v>1045000</v>
      </c>
      <c r="N207" s="8" t="s">
        <v>136</v>
      </c>
    </row>
    <row r="208" spans="1:15" s="120" customFormat="1">
      <c r="A208" s="113"/>
      <c r="B208" s="121" t="s">
        <v>506</v>
      </c>
      <c r="C208" s="203"/>
      <c r="D208" s="251">
        <v>500000</v>
      </c>
      <c r="E208" s="330"/>
      <c r="F208" s="116">
        <v>241578</v>
      </c>
      <c r="G208" s="116">
        <v>241668</v>
      </c>
      <c r="H208" s="570">
        <v>500000</v>
      </c>
      <c r="I208" s="570">
        <v>500000</v>
      </c>
      <c r="J208" s="126">
        <f t="shared" ref="J208" si="6">I208*100/D208</f>
        <v>100</v>
      </c>
      <c r="K208" s="252">
        <f>D208-I208</f>
        <v>0</v>
      </c>
      <c r="L208" s="119"/>
      <c r="M208" s="119"/>
      <c r="N208" s="8" t="s">
        <v>136</v>
      </c>
    </row>
    <row r="209" spans="1:14" ht="34.5">
      <c r="A209" s="37">
        <v>61</v>
      </c>
      <c r="B209" s="100" t="s">
        <v>86</v>
      </c>
      <c r="C209" s="92" t="s">
        <v>85</v>
      </c>
      <c r="D209" s="101">
        <v>4993900</v>
      </c>
      <c r="E209" s="323" t="s">
        <v>272</v>
      </c>
      <c r="F209" s="40"/>
      <c r="G209" s="94"/>
      <c r="H209" s="92"/>
      <c r="I209" s="42">
        <f>I210+I218</f>
        <v>3176509</v>
      </c>
      <c r="J209" s="102">
        <f>I209*100/I209</f>
        <v>100</v>
      </c>
      <c r="K209" s="103">
        <f>H210+H218-I209</f>
        <v>0</v>
      </c>
      <c r="L209" s="354"/>
      <c r="M209" s="354"/>
      <c r="N209" s="8" t="s">
        <v>136</v>
      </c>
    </row>
    <row r="210" spans="1:14" s="112" customFormat="1">
      <c r="A210" s="104"/>
      <c r="B210" s="105" t="s">
        <v>2</v>
      </c>
      <c r="C210" s="106"/>
      <c r="D210" s="107">
        <f>SUM(D211:D217)</f>
        <v>3769000</v>
      </c>
      <c r="E210" s="329"/>
      <c r="F210" s="89">
        <v>241515</v>
      </c>
      <c r="G210" s="89">
        <v>241575</v>
      </c>
      <c r="H210" s="531">
        <v>1971475</v>
      </c>
      <c r="I210" s="531">
        <v>1971475</v>
      </c>
      <c r="J210" s="110">
        <f>I210*100/I210</f>
        <v>100</v>
      </c>
      <c r="K210" s="111">
        <f>H210-I210</f>
        <v>0</v>
      </c>
      <c r="L210" s="111">
        <f>D210-H210</f>
        <v>1797525</v>
      </c>
      <c r="M210" s="106"/>
      <c r="N210" s="18"/>
    </row>
    <row r="211" spans="1:14" s="120" customFormat="1" ht="45">
      <c r="A211" s="113"/>
      <c r="B211" s="121" t="s">
        <v>338</v>
      </c>
      <c r="C211" s="204"/>
      <c r="D211" s="115">
        <v>440000</v>
      </c>
      <c r="E211" s="325"/>
      <c r="F211" s="254"/>
      <c r="G211" s="117"/>
      <c r="H211" s="204"/>
      <c r="I211" s="579"/>
      <c r="J211" s="119"/>
      <c r="K211" s="119"/>
      <c r="L211" s="119"/>
      <c r="M211" s="119"/>
      <c r="N211" s="12"/>
    </row>
    <row r="212" spans="1:14" s="120" customFormat="1">
      <c r="A212" s="113"/>
      <c r="B212" s="121" t="s">
        <v>168</v>
      </c>
      <c r="C212" s="203"/>
      <c r="D212" s="115">
        <v>475000</v>
      </c>
      <c r="E212" s="330"/>
      <c r="F212" s="116"/>
      <c r="G212" s="117"/>
      <c r="H212" s="114"/>
      <c r="I212" s="186"/>
      <c r="J212" s="119"/>
      <c r="K212" s="119"/>
      <c r="L212" s="119"/>
      <c r="M212" s="119"/>
      <c r="N212" s="12"/>
    </row>
    <row r="213" spans="1:14" s="120" customFormat="1">
      <c r="A213" s="113"/>
      <c r="B213" s="121" t="s">
        <v>169</v>
      </c>
      <c r="C213" s="203"/>
      <c r="D213" s="115">
        <v>550000</v>
      </c>
      <c r="E213" s="330"/>
      <c r="F213" s="116"/>
      <c r="G213" s="117"/>
      <c r="H213" s="114"/>
      <c r="I213" s="186"/>
      <c r="J213" s="119"/>
      <c r="K213" s="119"/>
      <c r="L213" s="119"/>
      <c r="M213" s="119"/>
      <c r="N213" s="12"/>
    </row>
    <row r="214" spans="1:14" s="120" customFormat="1">
      <c r="A214" s="113"/>
      <c r="B214" s="121" t="s">
        <v>170</v>
      </c>
      <c r="C214" s="203"/>
      <c r="D214" s="115">
        <v>525000</v>
      </c>
      <c r="E214" s="330"/>
      <c r="F214" s="116"/>
      <c r="G214" s="117"/>
      <c r="H214" s="114"/>
      <c r="I214" s="186"/>
      <c r="J214" s="119"/>
      <c r="K214" s="119"/>
      <c r="L214" s="119"/>
      <c r="M214" s="119"/>
      <c r="N214" s="12"/>
    </row>
    <row r="215" spans="1:14" s="120" customFormat="1">
      <c r="A215" s="113"/>
      <c r="B215" s="121" t="s">
        <v>171</v>
      </c>
      <c r="C215" s="203"/>
      <c r="D215" s="115">
        <v>639000</v>
      </c>
      <c r="E215" s="330"/>
      <c r="F215" s="116"/>
      <c r="G215" s="117"/>
      <c r="H215" s="114"/>
      <c r="I215" s="186"/>
      <c r="J215" s="119"/>
      <c r="K215" s="119"/>
      <c r="L215" s="119"/>
      <c r="M215" s="119"/>
      <c r="N215" s="12"/>
    </row>
    <row r="216" spans="1:14" s="91" customFormat="1" ht="45">
      <c r="A216" s="57"/>
      <c r="B216" s="8" t="s">
        <v>172</v>
      </c>
      <c r="C216" s="204"/>
      <c r="D216" s="123">
        <v>390000</v>
      </c>
      <c r="E216" s="331"/>
      <c r="F216" s="124"/>
      <c r="G216" s="125"/>
      <c r="H216" s="122"/>
      <c r="I216" s="140"/>
      <c r="J216" s="127"/>
      <c r="K216" s="127"/>
      <c r="L216" s="127"/>
      <c r="M216" s="127"/>
      <c r="N216" s="14"/>
    </row>
    <row r="217" spans="1:14" s="91" customFormat="1" ht="45">
      <c r="A217" s="57"/>
      <c r="B217" s="8" t="s">
        <v>173</v>
      </c>
      <c r="C217" s="204"/>
      <c r="D217" s="123">
        <v>750000</v>
      </c>
      <c r="E217" s="331"/>
      <c r="F217" s="124"/>
      <c r="G217" s="125"/>
      <c r="H217" s="122"/>
      <c r="I217" s="140"/>
      <c r="J217" s="127"/>
      <c r="K217" s="127"/>
      <c r="L217" s="127"/>
      <c r="M217" s="127"/>
      <c r="N217" s="14"/>
    </row>
    <row r="218" spans="1:14" s="99" customFormat="1">
      <c r="A218" s="46"/>
      <c r="B218" s="56" t="s">
        <v>3</v>
      </c>
      <c r="C218" s="48"/>
      <c r="D218" s="67">
        <f>D219+D220+D221+D222</f>
        <v>1224900</v>
      </c>
      <c r="E218" s="324"/>
      <c r="F218" s="48"/>
      <c r="G218" s="48"/>
      <c r="H218" s="255">
        <f>H219+H220+H221+H222</f>
        <v>1205034</v>
      </c>
      <c r="I218" s="52">
        <v>1205034</v>
      </c>
      <c r="J218" s="49">
        <f>I218*100/I218</f>
        <v>100</v>
      </c>
      <c r="K218" s="255">
        <f>H218-I218</f>
        <v>0</v>
      </c>
      <c r="L218" s="48"/>
      <c r="M218" s="255">
        <f>D218-H218</f>
        <v>19866</v>
      </c>
      <c r="N218" s="10"/>
    </row>
    <row r="219" spans="1:14" s="91" customFormat="1" ht="67.5">
      <c r="A219" s="57"/>
      <c r="B219" s="8" t="s">
        <v>495</v>
      </c>
      <c r="C219" s="204"/>
      <c r="D219" s="123">
        <v>270000</v>
      </c>
      <c r="E219" s="331"/>
      <c r="F219" s="124">
        <v>241515</v>
      </c>
      <c r="G219" s="124">
        <v>241575</v>
      </c>
      <c r="H219" s="140">
        <v>270000</v>
      </c>
      <c r="I219" s="122"/>
      <c r="J219" s="127"/>
      <c r="K219" s="127"/>
      <c r="L219" s="127"/>
      <c r="M219" s="127"/>
      <c r="N219" s="14"/>
    </row>
    <row r="220" spans="1:14" s="91" customFormat="1" ht="45">
      <c r="A220" s="57"/>
      <c r="B220" s="8" t="s">
        <v>496</v>
      </c>
      <c r="C220" s="204"/>
      <c r="D220" s="123">
        <v>660000</v>
      </c>
      <c r="E220" s="331"/>
      <c r="F220" s="124">
        <v>241515</v>
      </c>
      <c r="G220" s="124">
        <v>241575</v>
      </c>
      <c r="H220" s="140">
        <v>640134</v>
      </c>
      <c r="I220" s="122"/>
      <c r="J220" s="127"/>
      <c r="K220" s="127"/>
      <c r="L220" s="127"/>
      <c r="M220" s="127"/>
      <c r="N220" s="14"/>
    </row>
    <row r="221" spans="1:14" s="91" customFormat="1" ht="45">
      <c r="A221" s="57"/>
      <c r="B221" s="8" t="s">
        <v>497</v>
      </c>
      <c r="C221" s="204"/>
      <c r="D221" s="123">
        <v>230300</v>
      </c>
      <c r="E221" s="331"/>
      <c r="F221" s="124">
        <v>241515</v>
      </c>
      <c r="G221" s="124">
        <v>241575</v>
      </c>
      <c r="H221" s="140">
        <v>230300</v>
      </c>
      <c r="I221" s="122"/>
      <c r="J221" s="127"/>
      <c r="K221" s="127"/>
      <c r="L221" s="127"/>
      <c r="M221" s="127"/>
      <c r="N221" s="14"/>
    </row>
    <row r="222" spans="1:14" s="91" customFormat="1" ht="45">
      <c r="A222" s="57"/>
      <c r="B222" s="8" t="s">
        <v>498</v>
      </c>
      <c r="C222" s="204"/>
      <c r="D222" s="123">
        <v>64600</v>
      </c>
      <c r="E222" s="331"/>
      <c r="F222" s="124">
        <v>241515</v>
      </c>
      <c r="G222" s="124">
        <v>241575</v>
      </c>
      <c r="H222" s="140">
        <v>64600</v>
      </c>
      <c r="I222" s="122"/>
      <c r="J222" s="127"/>
      <c r="K222" s="127"/>
      <c r="L222" s="127"/>
      <c r="M222" s="127"/>
      <c r="N222" s="14"/>
    </row>
    <row r="223" spans="1:14" ht="34.5">
      <c r="A223" s="37">
        <v>62</v>
      </c>
      <c r="B223" s="100" t="s">
        <v>87</v>
      </c>
      <c r="C223" s="92" t="s">
        <v>85</v>
      </c>
      <c r="D223" s="101">
        <f>D224</f>
        <v>10000000</v>
      </c>
      <c r="E223" s="323" t="s">
        <v>264</v>
      </c>
      <c r="F223" s="40"/>
      <c r="G223" s="94"/>
      <c r="H223" s="92"/>
      <c r="I223" s="532">
        <f>I224</f>
        <v>9450000</v>
      </c>
      <c r="J223" s="102">
        <f>I223*100/D223</f>
        <v>94.5</v>
      </c>
      <c r="K223" s="103">
        <f>H224-I223</f>
        <v>0</v>
      </c>
      <c r="L223" s="354"/>
      <c r="M223" s="354"/>
      <c r="N223" s="382"/>
    </row>
    <row r="224" spans="1:14" s="112" customFormat="1">
      <c r="A224" s="104"/>
      <c r="B224" s="163" t="s">
        <v>3</v>
      </c>
      <c r="C224" s="106"/>
      <c r="D224" s="107">
        <f>D225</f>
        <v>10000000</v>
      </c>
      <c r="E224" s="329"/>
      <c r="F224" s="533">
        <v>241537</v>
      </c>
      <c r="G224" s="109">
        <v>241627</v>
      </c>
      <c r="H224" s="534">
        <v>9450000</v>
      </c>
      <c r="I224" s="531">
        <v>9450000</v>
      </c>
      <c r="J224" s="110">
        <f>I224*100/I224</f>
        <v>100</v>
      </c>
      <c r="K224" s="111">
        <f>H224-I224</f>
        <v>0</v>
      </c>
      <c r="L224" s="355"/>
      <c r="M224" s="162">
        <f>D224-H224</f>
        <v>550000</v>
      </c>
      <c r="N224" s="11"/>
    </row>
    <row r="225" spans="1:14" s="228" customFormat="1" ht="67.5">
      <c r="A225" s="221"/>
      <c r="B225" s="222" t="s">
        <v>543</v>
      </c>
      <c r="C225" s="261"/>
      <c r="D225" s="224">
        <v>10000000</v>
      </c>
      <c r="E225" s="340"/>
      <c r="F225" s="225"/>
      <c r="G225" s="226"/>
      <c r="H225" s="223"/>
      <c r="I225" s="223"/>
      <c r="J225" s="227"/>
      <c r="K225" s="227"/>
      <c r="L225" s="227"/>
      <c r="M225" s="227"/>
      <c r="N225" s="222"/>
    </row>
    <row r="226" spans="1:14" ht="45">
      <c r="A226" s="253">
        <v>63</v>
      </c>
      <c r="B226" s="230" t="s">
        <v>588</v>
      </c>
      <c r="C226" s="231" t="s">
        <v>589</v>
      </c>
      <c r="D226" s="232"/>
      <c r="E226" s="341" t="s">
        <v>606</v>
      </c>
      <c r="F226" s="233"/>
      <c r="G226" s="234"/>
      <c r="H226" s="231"/>
      <c r="I226" s="231"/>
      <c r="J226" s="235"/>
      <c r="K226" s="236">
        <f t="shared" ref="K226:K227" si="7">D226-I226</f>
        <v>0</v>
      </c>
      <c r="L226" s="358"/>
      <c r="M226" s="358"/>
      <c r="N226" s="8" t="s">
        <v>622</v>
      </c>
    </row>
    <row r="227" spans="1:14" s="112" customFormat="1">
      <c r="A227" s="237"/>
      <c r="B227" s="238" t="s">
        <v>3</v>
      </c>
      <c r="C227" s="239"/>
      <c r="D227" s="240"/>
      <c r="E227" s="342"/>
      <c r="F227" s="241"/>
      <c r="G227" s="242"/>
      <c r="H227" s="239"/>
      <c r="I227" s="239"/>
      <c r="J227" s="243"/>
      <c r="K227" s="244">
        <f t="shared" si="7"/>
        <v>0</v>
      </c>
      <c r="L227" s="359"/>
      <c r="M227" s="359"/>
      <c r="N227" s="11"/>
    </row>
    <row r="228" spans="1:14" s="91" customFormat="1" ht="45">
      <c r="A228" s="57"/>
      <c r="B228" s="8" t="s">
        <v>590</v>
      </c>
      <c r="C228" s="204"/>
      <c r="D228" s="123">
        <v>4800000</v>
      </c>
      <c r="E228" s="331"/>
      <c r="F228" s="124"/>
      <c r="G228" s="124"/>
      <c r="H228" s="140">
        <v>4783622.1500000004</v>
      </c>
      <c r="I228" s="122"/>
      <c r="J228" s="126">
        <f t="shared" ref="J228" si="8">I228*100/D228</f>
        <v>0</v>
      </c>
      <c r="K228" s="252">
        <f>D228-M228</f>
        <v>4783622.1500000004</v>
      </c>
      <c r="L228" s="127"/>
      <c r="M228" s="252">
        <f>D228-H228</f>
        <v>16377.849999999627</v>
      </c>
      <c r="N228" s="10"/>
    </row>
    <row r="229" spans="1:14" s="55" customFormat="1" ht="45">
      <c r="A229" s="37">
        <v>64</v>
      </c>
      <c r="B229" s="100" t="s">
        <v>140</v>
      </c>
      <c r="C229" s="92" t="s">
        <v>19</v>
      </c>
      <c r="D229" s="101"/>
      <c r="E229" s="323" t="s">
        <v>269</v>
      </c>
      <c r="F229" s="94"/>
      <c r="G229" s="41"/>
      <c r="H229" s="95"/>
      <c r="I229" s="95"/>
      <c r="J229" s="43"/>
      <c r="K229" s="39"/>
      <c r="L229" s="44"/>
      <c r="M229" s="44"/>
      <c r="N229" s="8" t="s">
        <v>136</v>
      </c>
    </row>
    <row r="230" spans="1:14" s="55" customFormat="1">
      <c r="A230" s="46"/>
      <c r="B230" s="56" t="s">
        <v>3</v>
      </c>
      <c r="C230" s="48"/>
      <c r="D230" s="67">
        <v>1131900</v>
      </c>
      <c r="E230" s="344"/>
      <c r="F230" s="89">
        <v>241505</v>
      </c>
      <c r="G230" s="89">
        <v>241565</v>
      </c>
      <c r="H230" s="90">
        <v>724000</v>
      </c>
      <c r="I230" s="90">
        <v>724000</v>
      </c>
      <c r="J230" s="128">
        <f>I230*100/H230</f>
        <v>100</v>
      </c>
      <c r="K230" s="54">
        <f>H230-I230</f>
        <v>0</v>
      </c>
      <c r="L230" s="576"/>
      <c r="M230" s="575">
        <f>D230-H230</f>
        <v>407900</v>
      </c>
      <c r="N230" s="9"/>
    </row>
    <row r="231" spans="1:14" s="245" customFormat="1" ht="90" hidden="1">
      <c r="A231" s="122"/>
      <c r="B231" s="150" t="s">
        <v>159</v>
      </c>
      <c r="C231" s="204"/>
      <c r="D231" s="151"/>
      <c r="E231" s="331"/>
      <c r="F231" s="124"/>
      <c r="G231" s="61"/>
      <c r="H231" s="140"/>
      <c r="I231" s="140"/>
      <c r="J231" s="63"/>
      <c r="K231" s="64"/>
      <c r="L231" s="139"/>
      <c r="M231" s="139"/>
      <c r="N231" s="9"/>
    </row>
    <row r="232" spans="1:14" ht="45">
      <c r="A232" s="253">
        <v>65</v>
      </c>
      <c r="B232" s="230" t="s">
        <v>509</v>
      </c>
      <c r="C232" s="231" t="s">
        <v>19</v>
      </c>
      <c r="D232" s="232"/>
      <c r="E232" s="341" t="s">
        <v>522</v>
      </c>
      <c r="F232" s="233"/>
      <c r="G232" s="234"/>
      <c r="H232" s="231"/>
      <c r="I232" s="231"/>
      <c r="J232" s="235"/>
      <c r="K232" s="236">
        <f>D232-I232</f>
        <v>0</v>
      </c>
      <c r="L232" s="358"/>
      <c r="M232" s="358"/>
      <c r="N232" s="8" t="s">
        <v>136</v>
      </c>
    </row>
    <row r="233" spans="1:14" s="55" customFormat="1">
      <c r="A233" s="77"/>
      <c r="B233" s="78" t="s">
        <v>2</v>
      </c>
      <c r="C233" s="79"/>
      <c r="D233" s="80">
        <v>1500000</v>
      </c>
      <c r="E233" s="334"/>
      <c r="F233" s="132"/>
      <c r="G233" s="82"/>
      <c r="H233" s="133"/>
      <c r="I233" s="135">
        <v>1490000</v>
      </c>
      <c r="J233" s="136">
        <f>I233*100/I233</f>
        <v>100</v>
      </c>
      <c r="K233" s="137">
        <f>I233-I233</f>
        <v>0</v>
      </c>
      <c r="L233" s="137">
        <v>10000</v>
      </c>
      <c r="M233" s="86"/>
      <c r="N233" s="9"/>
    </row>
    <row r="234" spans="1:14" s="55" customFormat="1" ht="45">
      <c r="A234" s="37">
        <v>66</v>
      </c>
      <c r="B234" s="100" t="s">
        <v>196</v>
      </c>
      <c r="C234" s="92" t="s">
        <v>16</v>
      </c>
      <c r="D234" s="101"/>
      <c r="E234" s="323" t="s">
        <v>256</v>
      </c>
      <c r="F234" s="94"/>
      <c r="G234" s="41"/>
      <c r="H234" s="95"/>
      <c r="I234" s="95"/>
      <c r="J234" s="43"/>
      <c r="K234" s="39"/>
      <c r="L234" s="44"/>
      <c r="M234" s="44"/>
      <c r="N234" s="8"/>
    </row>
    <row r="235" spans="1:14" s="55" customFormat="1">
      <c r="A235" s="46"/>
      <c r="B235" s="56" t="s">
        <v>3</v>
      </c>
      <c r="C235" s="48"/>
      <c r="D235" s="67">
        <v>4975200</v>
      </c>
      <c r="E235" s="328"/>
      <c r="F235" s="89">
        <v>241542</v>
      </c>
      <c r="G235" s="89">
        <v>241661</v>
      </c>
      <c r="H235" s="90">
        <v>4182750</v>
      </c>
      <c r="I235" s="577"/>
      <c r="J235" s="128">
        <f>I235*100/D235</f>
        <v>0</v>
      </c>
      <c r="K235" s="54">
        <f>H235-I235</f>
        <v>4182750</v>
      </c>
      <c r="L235" s="576"/>
      <c r="M235" s="575">
        <f>D235-H235</f>
        <v>792450</v>
      </c>
      <c r="N235" s="9"/>
    </row>
    <row r="236" spans="1:14" s="245" customFormat="1" ht="112.5">
      <c r="A236" s="122"/>
      <c r="B236" s="150" t="s">
        <v>141</v>
      </c>
      <c r="C236" s="204"/>
      <c r="D236" s="151">
        <v>4975200</v>
      </c>
      <c r="E236" s="331"/>
      <c r="F236" s="124"/>
      <c r="G236" s="61"/>
      <c r="H236" s="140"/>
      <c r="I236" s="140"/>
      <c r="J236" s="63"/>
      <c r="K236" s="64"/>
      <c r="L236" s="139"/>
      <c r="M236" s="139"/>
      <c r="N236" s="8" t="s">
        <v>611</v>
      </c>
    </row>
    <row r="237" spans="1:14" ht="45">
      <c r="A237" s="253">
        <v>67</v>
      </c>
      <c r="B237" s="230" t="s">
        <v>591</v>
      </c>
      <c r="C237" s="231" t="s">
        <v>16</v>
      </c>
      <c r="D237" s="232"/>
      <c r="E237" s="341" t="s">
        <v>605</v>
      </c>
      <c r="F237" s="233"/>
      <c r="G237" s="234"/>
      <c r="H237" s="231"/>
      <c r="I237" s="231"/>
      <c r="J237" s="235"/>
      <c r="K237" s="236">
        <f>D237-I237</f>
        <v>0</v>
      </c>
      <c r="L237" s="358"/>
      <c r="M237" s="358"/>
      <c r="N237" s="9" t="s">
        <v>136</v>
      </c>
    </row>
    <row r="238" spans="1:14" s="55" customFormat="1">
      <c r="A238" s="77"/>
      <c r="B238" s="78" t="s">
        <v>3</v>
      </c>
      <c r="C238" s="79"/>
      <c r="D238" s="80">
        <v>400000</v>
      </c>
      <c r="E238" s="334"/>
      <c r="F238" s="132"/>
      <c r="G238" s="82"/>
      <c r="H238" s="133"/>
      <c r="I238" s="135">
        <v>400000</v>
      </c>
      <c r="J238" s="136">
        <f>I238*100/D238</f>
        <v>100</v>
      </c>
      <c r="K238" s="137">
        <f>D238-I238</f>
        <v>0</v>
      </c>
      <c r="L238" s="86"/>
      <c r="M238" s="86"/>
      <c r="N238" s="9"/>
    </row>
    <row r="239" spans="1:14" ht="45">
      <c r="A239" s="253">
        <v>68</v>
      </c>
      <c r="B239" s="230" t="s">
        <v>592</v>
      </c>
      <c r="C239" s="231" t="s">
        <v>16</v>
      </c>
      <c r="D239" s="232"/>
      <c r="E239" s="341" t="s">
        <v>605</v>
      </c>
      <c r="F239" s="233"/>
      <c r="G239" s="234"/>
      <c r="H239" s="231"/>
      <c r="I239" s="231"/>
      <c r="J239" s="235"/>
      <c r="K239" s="236">
        <f>D239-I239</f>
        <v>0</v>
      </c>
      <c r="L239" s="358"/>
      <c r="M239" s="358"/>
      <c r="N239" s="9" t="s">
        <v>136</v>
      </c>
    </row>
    <row r="240" spans="1:14" s="55" customFormat="1">
      <c r="A240" s="77"/>
      <c r="B240" s="78" t="s">
        <v>3</v>
      </c>
      <c r="C240" s="79"/>
      <c r="D240" s="80">
        <v>414000</v>
      </c>
      <c r="E240" s="334"/>
      <c r="F240" s="132"/>
      <c r="G240" s="82"/>
      <c r="H240" s="133"/>
      <c r="I240" s="135">
        <v>414000</v>
      </c>
      <c r="J240" s="136">
        <f>I240*100/D240</f>
        <v>100</v>
      </c>
      <c r="K240" s="137">
        <f>D240-I240</f>
        <v>0</v>
      </c>
      <c r="L240" s="86"/>
      <c r="M240" s="86"/>
      <c r="N240" s="9"/>
    </row>
    <row r="241" spans="1:15" s="55" customFormat="1" ht="34.5">
      <c r="A241" s="37">
        <v>69</v>
      </c>
      <c r="B241" s="100" t="s">
        <v>17</v>
      </c>
      <c r="C241" s="92" t="s">
        <v>63</v>
      </c>
      <c r="D241" s="101"/>
      <c r="E241" s="323" t="s">
        <v>289</v>
      </c>
      <c r="F241" s="206"/>
      <c r="G241" s="41"/>
      <c r="H241" s="256"/>
      <c r="I241" s="256"/>
      <c r="J241" s="43"/>
      <c r="K241" s="39"/>
      <c r="L241" s="44"/>
      <c r="M241" s="44"/>
      <c r="N241" s="9" t="s">
        <v>136</v>
      </c>
    </row>
    <row r="242" spans="1:15" s="55" customFormat="1">
      <c r="A242" s="46"/>
      <c r="B242" s="47" t="s">
        <v>2</v>
      </c>
      <c r="C242" s="48"/>
      <c r="D242" s="52">
        <v>2500000</v>
      </c>
      <c r="E242" s="344"/>
      <c r="F242" s="89"/>
      <c r="G242" s="51"/>
      <c r="H242" s="90"/>
      <c r="I242" s="90">
        <v>2487000</v>
      </c>
      <c r="J242" s="128">
        <f>I242*100/I242</f>
        <v>100</v>
      </c>
      <c r="K242" s="54">
        <f>D242-I242-L242</f>
        <v>0</v>
      </c>
      <c r="L242" s="68">
        <v>13000</v>
      </c>
      <c r="M242" s="576"/>
      <c r="N242" s="9"/>
    </row>
    <row r="243" spans="1:15" s="260" customFormat="1" ht="34.5">
      <c r="A243" s="257">
        <v>70</v>
      </c>
      <c r="B243" s="65" t="s">
        <v>623</v>
      </c>
      <c r="C243" s="92" t="s">
        <v>63</v>
      </c>
      <c r="D243" s="200">
        <f>D244+D245</f>
        <v>3039700</v>
      </c>
      <c r="E243" s="345" t="s">
        <v>282</v>
      </c>
      <c r="F243" s="258"/>
      <c r="G243" s="259"/>
      <c r="H243" s="198"/>
      <c r="I243" s="198">
        <f>I244+I245</f>
        <v>1719300</v>
      </c>
      <c r="J243" s="199">
        <f>I243*100/I243</f>
        <v>100</v>
      </c>
      <c r="K243" s="200">
        <f>D243-I243-L244-M248</f>
        <v>874500</v>
      </c>
      <c r="L243" s="44"/>
      <c r="M243" s="44"/>
      <c r="N243" s="16"/>
    </row>
    <row r="244" spans="1:15" s="139" customFormat="1">
      <c r="A244" s="170"/>
      <c r="B244" s="47" t="s">
        <v>2</v>
      </c>
      <c r="C244" s="171"/>
      <c r="D244" s="49">
        <v>1257800</v>
      </c>
      <c r="E244" s="346"/>
      <c r="F244" s="172"/>
      <c r="G244" s="173"/>
      <c r="H244" s="145"/>
      <c r="I244" s="145">
        <v>94300</v>
      </c>
      <c r="J244" s="146">
        <f>I244*100/I244</f>
        <v>100</v>
      </c>
      <c r="K244" s="68">
        <f>D244-I244-L244</f>
        <v>874500</v>
      </c>
      <c r="L244" s="68">
        <v>289000</v>
      </c>
      <c r="M244" s="576"/>
      <c r="N244" s="9" t="s">
        <v>136</v>
      </c>
      <c r="O244" s="383"/>
    </row>
    <row r="245" spans="1:15" s="139" customFormat="1">
      <c r="A245" s="170"/>
      <c r="B245" s="56" t="s">
        <v>3</v>
      </c>
      <c r="C245" s="171"/>
      <c r="D245" s="49">
        <f>SUM(D246:D248)</f>
        <v>1781900</v>
      </c>
      <c r="E245" s="346"/>
      <c r="F245" s="172"/>
      <c r="G245" s="173"/>
      <c r="H245" s="145"/>
      <c r="I245" s="145">
        <f>I246+I247+I248</f>
        <v>1625000</v>
      </c>
      <c r="J245" s="146">
        <f>I245*100/I245</f>
        <v>100</v>
      </c>
      <c r="K245" s="68">
        <f>D245-I245-M248</f>
        <v>0</v>
      </c>
      <c r="L245" s="576"/>
      <c r="M245" s="576"/>
      <c r="N245" s="9" t="s">
        <v>136</v>
      </c>
      <c r="O245" s="383"/>
    </row>
    <row r="246" spans="1:15" s="267" customFormat="1" ht="67.5">
      <c r="A246" s="368"/>
      <c r="B246" s="222" t="s">
        <v>339</v>
      </c>
      <c r="C246" s="369"/>
      <c r="D246" s="370">
        <v>70000</v>
      </c>
      <c r="E246" s="371"/>
      <c r="F246" s="372">
        <v>241509</v>
      </c>
      <c r="G246" s="372">
        <v>241516</v>
      </c>
      <c r="H246" s="367">
        <v>70000</v>
      </c>
      <c r="I246" s="367">
        <v>70000</v>
      </c>
      <c r="J246" s="373">
        <f t="shared" ref="J246:J247" si="9">I246*100/D246</f>
        <v>100</v>
      </c>
      <c r="K246" s="374">
        <f t="shared" ref="K246:K247" si="10">D246-I246</f>
        <v>0</v>
      </c>
      <c r="N246" s="375"/>
      <c r="O246" s="384"/>
    </row>
    <row r="247" spans="1:15" s="55" customFormat="1" ht="45">
      <c r="A247" s="57"/>
      <c r="B247" s="8" t="s">
        <v>424</v>
      </c>
      <c r="C247" s="159"/>
      <c r="D247" s="181">
        <v>19000</v>
      </c>
      <c r="E247" s="331"/>
      <c r="F247" s="372">
        <v>241509</v>
      </c>
      <c r="G247" s="372">
        <v>241516</v>
      </c>
      <c r="H247" s="140">
        <v>19000</v>
      </c>
      <c r="I247" s="179">
        <v>19000</v>
      </c>
      <c r="J247" s="180">
        <f t="shared" si="9"/>
        <v>100</v>
      </c>
      <c r="K247" s="168">
        <f t="shared" si="10"/>
        <v>0</v>
      </c>
      <c r="L247" s="139"/>
      <c r="M247" s="139"/>
      <c r="N247" s="9"/>
    </row>
    <row r="248" spans="1:15" s="268" customFormat="1" ht="67.5">
      <c r="A248" s="221"/>
      <c r="B248" s="222" t="s">
        <v>423</v>
      </c>
      <c r="C248" s="376"/>
      <c r="D248" s="370">
        <v>1692900</v>
      </c>
      <c r="E248" s="340"/>
      <c r="F248" s="372">
        <v>241514</v>
      </c>
      <c r="G248" s="372">
        <v>22488</v>
      </c>
      <c r="H248" s="264">
        <v>1536000</v>
      </c>
      <c r="I248" s="367">
        <v>1536000</v>
      </c>
      <c r="J248" s="373">
        <f>I248*100/I248</f>
        <v>100</v>
      </c>
      <c r="K248" s="374">
        <f>H248-I248</f>
        <v>0</v>
      </c>
      <c r="L248" s="267"/>
      <c r="M248" s="377">
        <f>D248-H248</f>
        <v>156900</v>
      </c>
      <c r="N248" s="20"/>
    </row>
    <row r="249" spans="1:15" s="55" customFormat="1" ht="45">
      <c r="A249" s="37">
        <v>71</v>
      </c>
      <c r="B249" s="100" t="s">
        <v>195</v>
      </c>
      <c r="C249" s="92" t="s">
        <v>114</v>
      </c>
      <c r="D249" s="101"/>
      <c r="E249" s="345" t="s">
        <v>253</v>
      </c>
      <c r="F249" s="94"/>
      <c r="G249" s="41"/>
      <c r="H249" s="95"/>
      <c r="I249" s="95"/>
      <c r="J249" s="43"/>
      <c r="K249" s="39"/>
      <c r="L249" s="44"/>
      <c r="M249" s="44"/>
      <c r="N249" s="9" t="s">
        <v>136</v>
      </c>
    </row>
    <row r="250" spans="1:15" s="55" customFormat="1">
      <c r="A250" s="46"/>
      <c r="B250" s="56" t="s">
        <v>3</v>
      </c>
      <c r="C250" s="48"/>
      <c r="D250" s="67">
        <v>1960000</v>
      </c>
      <c r="E250" s="344"/>
      <c r="F250" s="89">
        <v>22363</v>
      </c>
      <c r="G250" s="89">
        <v>22453</v>
      </c>
      <c r="H250" s="90">
        <v>1380000</v>
      </c>
      <c r="I250" s="90">
        <v>1380000</v>
      </c>
      <c r="J250" s="128">
        <f>I250*100/H250</f>
        <v>100</v>
      </c>
      <c r="K250" s="54">
        <f>H250-I250</f>
        <v>0</v>
      </c>
      <c r="L250" s="576"/>
      <c r="M250" s="575">
        <f>D250-H250</f>
        <v>580000</v>
      </c>
      <c r="N250" s="9"/>
    </row>
    <row r="251" spans="1:15" s="55" customFormat="1" ht="67.5" hidden="1">
      <c r="A251" s="122"/>
      <c r="B251" s="150" t="s">
        <v>115</v>
      </c>
      <c r="C251" s="204"/>
      <c r="D251" s="151"/>
      <c r="E251" s="331"/>
      <c r="F251" s="124"/>
      <c r="G251" s="138"/>
      <c r="H251" s="140"/>
      <c r="I251" s="140"/>
      <c r="J251" s="63"/>
      <c r="K251" s="64"/>
      <c r="L251" s="139"/>
      <c r="M251" s="139"/>
      <c r="N251" s="9"/>
    </row>
    <row r="252" spans="1:15" s="55" customFormat="1" ht="45">
      <c r="A252" s="37">
        <v>72</v>
      </c>
      <c r="B252" s="100" t="s">
        <v>193</v>
      </c>
      <c r="C252" s="92" t="s">
        <v>114</v>
      </c>
      <c r="D252" s="101"/>
      <c r="E252" s="345" t="s">
        <v>253</v>
      </c>
      <c r="F252" s="94"/>
      <c r="G252" s="41"/>
      <c r="H252" s="95"/>
      <c r="I252" s="95"/>
      <c r="J252" s="43"/>
      <c r="K252" s="39"/>
      <c r="L252" s="44"/>
      <c r="M252" s="44"/>
      <c r="N252" s="9" t="s">
        <v>136</v>
      </c>
    </row>
    <row r="253" spans="1:15" s="55" customFormat="1">
      <c r="A253" s="46"/>
      <c r="B253" s="56" t="s">
        <v>3</v>
      </c>
      <c r="C253" s="48"/>
      <c r="D253" s="67">
        <v>1960000</v>
      </c>
      <c r="E253" s="336"/>
      <c r="F253" s="89">
        <v>22362</v>
      </c>
      <c r="G253" s="89">
        <v>22452</v>
      </c>
      <c r="H253" s="90">
        <v>1370000</v>
      </c>
      <c r="I253" s="145">
        <v>1370000</v>
      </c>
      <c r="J253" s="146">
        <f>I253*100/I253</f>
        <v>100</v>
      </c>
      <c r="K253" s="68">
        <f>I253-I253</f>
        <v>0</v>
      </c>
      <c r="L253" s="576"/>
      <c r="M253" s="575">
        <f>D253-H253</f>
        <v>590000</v>
      </c>
      <c r="N253" s="9"/>
    </row>
    <row r="254" spans="1:15" s="55" customFormat="1" ht="67.5" hidden="1">
      <c r="A254" s="122"/>
      <c r="B254" s="8" t="s">
        <v>340</v>
      </c>
      <c r="C254" s="204"/>
      <c r="D254" s="151"/>
      <c r="E254" s="337"/>
      <c r="F254" s="124"/>
      <c r="G254" s="138"/>
      <c r="H254" s="140"/>
      <c r="I254" s="140"/>
      <c r="J254" s="63"/>
      <c r="K254" s="64"/>
      <c r="L254" s="139"/>
      <c r="M254" s="139"/>
      <c r="N254" s="9"/>
    </row>
    <row r="255" spans="1:15" s="55" customFormat="1" ht="45">
      <c r="A255" s="37">
        <v>73</v>
      </c>
      <c r="B255" s="100" t="s">
        <v>194</v>
      </c>
      <c r="C255" s="92" t="s">
        <v>114</v>
      </c>
      <c r="D255" s="101"/>
      <c r="E255" s="345" t="s">
        <v>253</v>
      </c>
      <c r="F255" s="94"/>
      <c r="G255" s="41"/>
      <c r="H255" s="95"/>
      <c r="I255" s="95"/>
      <c r="J255" s="43"/>
      <c r="K255" s="39"/>
      <c r="L255" s="44"/>
      <c r="M255" s="44"/>
      <c r="N255" s="9" t="s">
        <v>136</v>
      </c>
    </row>
    <row r="256" spans="1:15" s="55" customFormat="1">
      <c r="A256" s="46"/>
      <c r="B256" s="56" t="s">
        <v>3</v>
      </c>
      <c r="C256" s="48"/>
      <c r="D256" s="67">
        <v>980000</v>
      </c>
      <c r="E256" s="344"/>
      <c r="F256" s="89">
        <v>241502</v>
      </c>
      <c r="G256" s="89">
        <v>241562</v>
      </c>
      <c r="H256" s="90">
        <v>728000</v>
      </c>
      <c r="I256" s="145">
        <v>728000</v>
      </c>
      <c r="J256" s="146">
        <f>I256*100/H256</f>
        <v>100</v>
      </c>
      <c r="K256" s="68">
        <f>H256-I256</f>
        <v>0</v>
      </c>
      <c r="L256" s="576"/>
      <c r="M256" s="575">
        <f>D256-H256</f>
        <v>252000</v>
      </c>
      <c r="N256" s="9"/>
    </row>
    <row r="257" spans="1:14" s="55" customFormat="1" ht="67.5" hidden="1">
      <c r="A257" s="122"/>
      <c r="B257" s="8" t="s">
        <v>341</v>
      </c>
      <c r="C257" s="204"/>
      <c r="D257" s="151"/>
      <c r="E257" s="331"/>
      <c r="F257" s="124"/>
      <c r="G257" s="138"/>
      <c r="H257" s="140"/>
      <c r="I257" s="140"/>
      <c r="J257" s="63"/>
      <c r="K257" s="64"/>
      <c r="L257" s="139"/>
      <c r="M257" s="139"/>
      <c r="N257" s="9"/>
    </row>
    <row r="258" spans="1:14" s="55" customFormat="1" ht="45">
      <c r="A258" s="196">
        <v>74</v>
      </c>
      <c r="B258" s="70" t="s">
        <v>240</v>
      </c>
      <c r="C258" s="130" t="s">
        <v>114</v>
      </c>
      <c r="D258" s="71"/>
      <c r="E258" s="347" t="s">
        <v>305</v>
      </c>
      <c r="F258" s="131"/>
      <c r="G258" s="72"/>
      <c r="H258" s="73"/>
      <c r="I258" s="73"/>
      <c r="J258" s="74"/>
      <c r="K258" s="75"/>
      <c r="L258" s="76"/>
      <c r="M258" s="76"/>
      <c r="N258" s="9" t="s">
        <v>136</v>
      </c>
    </row>
    <row r="259" spans="1:14" s="55" customFormat="1">
      <c r="A259" s="77"/>
      <c r="B259" s="157" t="s">
        <v>3</v>
      </c>
      <c r="C259" s="79"/>
      <c r="D259" s="80">
        <v>1265000</v>
      </c>
      <c r="E259" s="348"/>
      <c r="F259" s="132">
        <v>241554</v>
      </c>
      <c r="G259" s="81">
        <v>241614</v>
      </c>
      <c r="H259" s="133">
        <v>815000</v>
      </c>
      <c r="I259" s="135">
        <v>815000</v>
      </c>
      <c r="J259" s="136">
        <f>I259*100/I259</f>
        <v>100</v>
      </c>
      <c r="K259" s="137">
        <f>H259-I259</f>
        <v>0</v>
      </c>
      <c r="L259" s="86"/>
      <c r="M259" s="528">
        <f>D259-H259</f>
        <v>450000</v>
      </c>
      <c r="N259" s="9"/>
    </row>
    <row r="260" spans="1:14" s="268" customFormat="1" ht="67.5" hidden="1">
      <c r="A260" s="223"/>
      <c r="B260" s="222" t="s">
        <v>296</v>
      </c>
      <c r="C260" s="261"/>
      <c r="D260" s="262"/>
      <c r="E260" s="340"/>
      <c r="F260" s="225"/>
      <c r="G260" s="263"/>
      <c r="H260" s="264"/>
      <c r="I260" s="264"/>
      <c r="J260" s="265"/>
      <c r="K260" s="266"/>
      <c r="L260" s="267"/>
      <c r="M260" s="267"/>
      <c r="N260" s="8"/>
    </row>
    <row r="261" spans="1:14" s="55" customFormat="1" ht="45">
      <c r="A261" s="37">
        <v>75</v>
      </c>
      <c r="B261" s="100" t="s">
        <v>422</v>
      </c>
      <c r="C261" s="92" t="s">
        <v>58</v>
      </c>
      <c r="D261" s="101"/>
      <c r="E261" s="345" t="s">
        <v>252</v>
      </c>
      <c r="F261" s="94"/>
      <c r="G261" s="41"/>
      <c r="H261" s="95"/>
      <c r="I261" s="95"/>
      <c r="J261" s="43"/>
      <c r="K261" s="39"/>
      <c r="L261" s="44"/>
      <c r="M261" s="44"/>
      <c r="N261" s="9" t="s">
        <v>136</v>
      </c>
    </row>
    <row r="262" spans="1:14" s="55" customFormat="1">
      <c r="A262" s="46"/>
      <c r="B262" s="56" t="s">
        <v>3</v>
      </c>
      <c r="C262" s="48"/>
      <c r="D262" s="67">
        <v>457600</v>
      </c>
      <c r="E262" s="344"/>
      <c r="F262" s="89">
        <v>22233</v>
      </c>
      <c r="G262" s="89">
        <v>22263</v>
      </c>
      <c r="H262" s="90">
        <v>456000</v>
      </c>
      <c r="I262" s="145">
        <v>456000</v>
      </c>
      <c r="J262" s="146">
        <f>I262*100/H262</f>
        <v>100</v>
      </c>
      <c r="K262" s="68">
        <f>I262-I262</f>
        <v>0</v>
      </c>
      <c r="L262" s="576"/>
      <c r="M262" s="68">
        <v>1600</v>
      </c>
      <c r="N262" s="9"/>
    </row>
    <row r="263" spans="1:14" s="55" customFormat="1" ht="67.5" hidden="1">
      <c r="A263" s="122"/>
      <c r="B263" s="8" t="s">
        <v>142</v>
      </c>
      <c r="C263" s="204"/>
      <c r="D263" s="151"/>
      <c r="E263" s="331"/>
      <c r="F263" s="124"/>
      <c r="G263" s="138"/>
      <c r="H263" s="140"/>
      <c r="I263" s="140"/>
      <c r="J263" s="63"/>
      <c r="K263" s="64"/>
      <c r="L263" s="139"/>
      <c r="M263" s="139"/>
      <c r="N263" s="9"/>
    </row>
    <row r="264" spans="1:14" s="55" customFormat="1" ht="45">
      <c r="A264" s="37">
        <v>76</v>
      </c>
      <c r="B264" s="100" t="s">
        <v>191</v>
      </c>
      <c r="C264" s="92" t="s">
        <v>58</v>
      </c>
      <c r="D264" s="101"/>
      <c r="E264" s="345" t="s">
        <v>252</v>
      </c>
      <c r="F264" s="94"/>
      <c r="G264" s="41"/>
      <c r="H264" s="95"/>
      <c r="I264" s="95"/>
      <c r="J264" s="43"/>
      <c r="K264" s="39"/>
      <c r="L264" s="44"/>
      <c r="M264" s="44"/>
      <c r="N264" s="9" t="s">
        <v>136</v>
      </c>
    </row>
    <row r="265" spans="1:14" s="55" customFormat="1">
      <c r="A265" s="46"/>
      <c r="B265" s="56" t="s">
        <v>3</v>
      </c>
      <c r="C265" s="48"/>
      <c r="D265" s="67">
        <v>486000</v>
      </c>
      <c r="E265" s="344"/>
      <c r="F265" s="89">
        <v>241411</v>
      </c>
      <c r="G265" s="269">
        <v>241441</v>
      </c>
      <c r="H265" s="90">
        <v>484500</v>
      </c>
      <c r="I265" s="145">
        <f>H265</f>
        <v>484500</v>
      </c>
      <c r="J265" s="146">
        <f>I265*100/H265</f>
        <v>100</v>
      </c>
      <c r="K265" s="68">
        <f>I265-H265:H265</f>
        <v>0</v>
      </c>
      <c r="L265" s="576"/>
      <c r="M265" s="575">
        <f>D265-H265</f>
        <v>1500</v>
      </c>
      <c r="N265" s="9"/>
    </row>
    <row r="266" spans="1:14" s="55" customFormat="1" ht="67.5" hidden="1">
      <c r="A266" s="122"/>
      <c r="B266" s="8" t="s">
        <v>238</v>
      </c>
      <c r="C266" s="204"/>
      <c r="D266" s="151"/>
      <c r="E266" s="331"/>
      <c r="F266" s="124"/>
      <c r="G266" s="138"/>
      <c r="H266" s="140"/>
      <c r="I266" s="140"/>
      <c r="J266" s="63"/>
      <c r="K266" s="64"/>
      <c r="L266" s="139"/>
      <c r="M266" s="139"/>
      <c r="N266" s="9"/>
    </row>
    <row r="267" spans="1:14" s="55" customFormat="1" ht="45">
      <c r="A267" s="37">
        <v>77</v>
      </c>
      <c r="B267" s="100" t="s">
        <v>192</v>
      </c>
      <c r="C267" s="92" t="s">
        <v>58</v>
      </c>
      <c r="D267" s="101"/>
      <c r="E267" s="345" t="s">
        <v>252</v>
      </c>
      <c r="F267" s="94"/>
      <c r="G267" s="41"/>
      <c r="H267" s="95"/>
      <c r="I267" s="95"/>
      <c r="J267" s="43"/>
      <c r="K267" s="39"/>
      <c r="L267" s="44"/>
      <c r="M267" s="44"/>
      <c r="N267" s="9" t="s">
        <v>136</v>
      </c>
    </row>
    <row r="268" spans="1:14" s="55" customFormat="1">
      <c r="A268" s="46"/>
      <c r="B268" s="56" t="s">
        <v>3</v>
      </c>
      <c r="C268" s="48"/>
      <c r="D268" s="67">
        <v>479200</v>
      </c>
      <c r="E268" s="344"/>
      <c r="F268" s="89">
        <v>22265</v>
      </c>
      <c r="G268" s="269">
        <v>241441</v>
      </c>
      <c r="H268" s="90">
        <v>477700</v>
      </c>
      <c r="I268" s="145">
        <f>H268</f>
        <v>477700</v>
      </c>
      <c r="J268" s="146">
        <f>I268*100/H268</f>
        <v>100</v>
      </c>
      <c r="K268" s="68">
        <f>I268-H268</f>
        <v>0</v>
      </c>
      <c r="L268" s="576"/>
      <c r="M268" s="575">
        <f>D268-I268</f>
        <v>1500</v>
      </c>
      <c r="N268" s="9"/>
    </row>
    <row r="269" spans="1:14" s="55" customFormat="1" ht="67.5" hidden="1">
      <c r="A269" s="122"/>
      <c r="B269" s="8" t="s">
        <v>143</v>
      </c>
      <c r="C269" s="204"/>
      <c r="D269" s="151"/>
      <c r="E269" s="331"/>
      <c r="F269" s="124"/>
      <c r="G269" s="138"/>
      <c r="H269" s="140"/>
      <c r="I269" s="140"/>
      <c r="J269" s="63"/>
      <c r="K269" s="64"/>
      <c r="L269" s="139"/>
      <c r="M269" s="139"/>
      <c r="N269" s="9"/>
    </row>
    <row r="270" spans="1:14" s="55" customFormat="1" ht="34.5">
      <c r="A270" s="37">
        <v>78</v>
      </c>
      <c r="B270" s="100" t="s">
        <v>117</v>
      </c>
      <c r="C270" s="92" t="s">
        <v>58</v>
      </c>
      <c r="D270" s="101"/>
      <c r="E270" s="345" t="s">
        <v>252</v>
      </c>
      <c r="F270" s="94"/>
      <c r="G270" s="41"/>
      <c r="H270" s="95"/>
      <c r="I270" s="95"/>
      <c r="J270" s="43"/>
      <c r="K270" s="39"/>
      <c r="L270" s="44"/>
      <c r="M270" s="44"/>
      <c r="N270" s="9" t="s">
        <v>136</v>
      </c>
    </row>
    <row r="271" spans="1:14" s="55" customFormat="1">
      <c r="A271" s="46"/>
      <c r="B271" s="56" t="s">
        <v>3</v>
      </c>
      <c r="C271" s="48"/>
      <c r="D271" s="67">
        <v>485100</v>
      </c>
      <c r="E271" s="344"/>
      <c r="F271" s="89">
        <v>241418</v>
      </c>
      <c r="G271" s="89">
        <v>241448</v>
      </c>
      <c r="H271" s="90">
        <v>483600</v>
      </c>
      <c r="I271" s="145">
        <v>483600</v>
      </c>
      <c r="J271" s="146">
        <f>I271*100/H271</f>
        <v>100</v>
      </c>
      <c r="K271" s="68">
        <f>H271-I271</f>
        <v>0</v>
      </c>
      <c r="L271" s="576"/>
      <c r="M271" s="575">
        <f>D271-H271</f>
        <v>1500</v>
      </c>
      <c r="N271" s="9"/>
    </row>
    <row r="272" spans="1:14" s="55" customFormat="1" ht="67.5" hidden="1">
      <c r="A272" s="122"/>
      <c r="B272" s="8" t="s">
        <v>118</v>
      </c>
      <c r="C272" s="204"/>
      <c r="D272" s="151"/>
      <c r="E272" s="331"/>
      <c r="F272" s="124"/>
      <c r="G272" s="138"/>
      <c r="H272" s="140"/>
      <c r="I272" s="140"/>
      <c r="J272" s="63"/>
      <c r="K272" s="64"/>
      <c r="L272" s="139"/>
      <c r="M272" s="139"/>
      <c r="N272" s="9"/>
    </row>
    <row r="273" spans="1:15" s="55" customFormat="1" ht="45">
      <c r="A273" s="160">
        <v>79</v>
      </c>
      <c r="B273" s="100" t="s">
        <v>208</v>
      </c>
      <c r="C273" s="92" t="s">
        <v>58</v>
      </c>
      <c r="D273" s="101"/>
      <c r="E273" s="345" t="s">
        <v>252</v>
      </c>
      <c r="F273" s="94"/>
      <c r="G273" s="41"/>
      <c r="H273" s="95"/>
      <c r="I273" s="95"/>
      <c r="J273" s="43"/>
      <c r="K273" s="39"/>
      <c r="L273" s="44"/>
      <c r="M273" s="44"/>
      <c r="N273" s="9" t="s">
        <v>136</v>
      </c>
    </row>
    <row r="274" spans="1:15" s="55" customFormat="1">
      <c r="A274" s="46"/>
      <c r="B274" s="56" t="s">
        <v>3</v>
      </c>
      <c r="C274" s="48"/>
      <c r="D274" s="67">
        <v>472300</v>
      </c>
      <c r="E274" s="344"/>
      <c r="F274" s="270">
        <v>22254</v>
      </c>
      <c r="G274" s="270">
        <v>241430</v>
      </c>
      <c r="H274" s="90">
        <v>470800</v>
      </c>
      <c r="I274" s="145">
        <v>470800</v>
      </c>
      <c r="J274" s="146">
        <f>I274*100/H274</f>
        <v>100</v>
      </c>
      <c r="K274" s="68">
        <f>I274-H274</f>
        <v>0</v>
      </c>
      <c r="L274" s="576"/>
      <c r="M274" s="575">
        <f>D274-H274</f>
        <v>1500</v>
      </c>
      <c r="N274" s="9"/>
    </row>
    <row r="275" spans="1:15" s="55" customFormat="1" ht="67.5" hidden="1">
      <c r="A275" s="122"/>
      <c r="B275" s="8" t="s">
        <v>144</v>
      </c>
      <c r="C275" s="204"/>
      <c r="D275" s="151"/>
      <c r="E275" s="331"/>
      <c r="F275" s="124"/>
      <c r="G275" s="138"/>
      <c r="H275" s="140"/>
      <c r="I275" s="140"/>
      <c r="J275" s="63"/>
      <c r="K275" s="64"/>
      <c r="L275" s="139"/>
      <c r="M275" s="139"/>
      <c r="N275" s="9"/>
    </row>
    <row r="276" spans="1:15" s="260" customFormat="1" ht="45">
      <c r="A276" s="257">
        <v>80</v>
      </c>
      <c r="B276" s="65" t="s">
        <v>131</v>
      </c>
      <c r="C276" s="87" t="s">
        <v>58</v>
      </c>
      <c r="D276" s="200">
        <f>D277+D278</f>
        <v>702900</v>
      </c>
      <c r="E276" s="345" t="s">
        <v>303</v>
      </c>
      <c r="F276" s="258"/>
      <c r="G276" s="259"/>
      <c r="H276" s="198"/>
      <c r="I276" s="198">
        <f>I277+I278</f>
        <v>673950</v>
      </c>
      <c r="J276" s="199">
        <f>I276*100/I276</f>
        <v>100</v>
      </c>
      <c r="K276" s="200">
        <f>D276-I276-M278</f>
        <v>0</v>
      </c>
      <c r="L276" s="44"/>
      <c r="M276" s="44"/>
      <c r="N276" s="15"/>
    </row>
    <row r="277" spans="1:15" s="139" customFormat="1">
      <c r="A277" s="170"/>
      <c r="B277" s="47" t="s">
        <v>2</v>
      </c>
      <c r="C277" s="171"/>
      <c r="D277" s="49">
        <v>78950</v>
      </c>
      <c r="E277" s="349"/>
      <c r="F277" s="271"/>
      <c r="G277" s="173"/>
      <c r="H277" s="272"/>
      <c r="I277" s="272">
        <v>78950</v>
      </c>
      <c r="J277" s="273">
        <f>I277*100/D277</f>
        <v>100</v>
      </c>
      <c r="K277" s="68">
        <f>D277-I277</f>
        <v>0</v>
      </c>
      <c r="L277" s="576"/>
      <c r="M277" s="576"/>
      <c r="N277" s="15" t="s">
        <v>136</v>
      </c>
      <c r="O277" s="383"/>
    </row>
    <row r="278" spans="1:15" s="139" customFormat="1">
      <c r="A278" s="170"/>
      <c r="B278" s="56" t="s">
        <v>3</v>
      </c>
      <c r="C278" s="171"/>
      <c r="D278" s="49">
        <v>623950</v>
      </c>
      <c r="E278" s="349"/>
      <c r="F278" s="271">
        <v>241568</v>
      </c>
      <c r="G278" s="173">
        <v>241628</v>
      </c>
      <c r="H278" s="272">
        <v>595000</v>
      </c>
      <c r="I278" s="272">
        <v>595000</v>
      </c>
      <c r="J278" s="273">
        <f>I278*100/I278</f>
        <v>100</v>
      </c>
      <c r="K278" s="68">
        <f>H278-I278</f>
        <v>0</v>
      </c>
      <c r="L278" s="576"/>
      <c r="M278" s="575">
        <f>D278-H278</f>
        <v>28950</v>
      </c>
      <c r="N278" s="15" t="s">
        <v>136</v>
      </c>
      <c r="O278" s="383"/>
    </row>
    <row r="279" spans="1:15" s="260" customFormat="1" ht="67.5" hidden="1">
      <c r="A279" s="175"/>
      <c r="B279" s="8" t="s">
        <v>555</v>
      </c>
      <c r="C279" s="143"/>
      <c r="D279" s="139"/>
      <c r="E279" s="337"/>
      <c r="F279" s="177"/>
      <c r="G279" s="178"/>
      <c r="H279" s="179"/>
      <c r="I279" s="179"/>
      <c r="J279" s="180"/>
      <c r="K279" s="181"/>
      <c r="L279" s="139"/>
      <c r="M279" s="139"/>
      <c r="N279" s="539"/>
    </row>
    <row r="280" spans="1:15" s="260" customFormat="1" ht="45">
      <c r="A280" s="257">
        <v>81</v>
      </c>
      <c r="B280" s="65" t="s">
        <v>295</v>
      </c>
      <c r="C280" s="87" t="s">
        <v>58</v>
      </c>
      <c r="D280" s="200"/>
      <c r="E280" s="345" t="s">
        <v>275</v>
      </c>
      <c r="F280" s="258"/>
      <c r="G280" s="259"/>
      <c r="H280" s="198"/>
      <c r="I280" s="198"/>
      <c r="J280" s="199"/>
      <c r="K280" s="200"/>
      <c r="L280" s="44"/>
      <c r="M280" s="44"/>
      <c r="N280" s="15" t="s">
        <v>136</v>
      </c>
    </row>
    <row r="281" spans="1:15" s="139" customFormat="1">
      <c r="A281" s="170"/>
      <c r="B281" s="56" t="s">
        <v>3</v>
      </c>
      <c r="C281" s="171"/>
      <c r="D281" s="49">
        <v>370000</v>
      </c>
      <c r="E281" s="346"/>
      <c r="F281" s="172"/>
      <c r="G281" s="173"/>
      <c r="H281" s="145"/>
      <c r="I281" s="145">
        <v>370000</v>
      </c>
      <c r="J281" s="146">
        <f>I281*100/D281</f>
        <v>100</v>
      </c>
      <c r="K281" s="68">
        <f>D281-I281</f>
        <v>0</v>
      </c>
      <c r="L281" s="576"/>
      <c r="M281" s="576"/>
      <c r="N281" s="15"/>
      <c r="O281" s="383"/>
    </row>
    <row r="282" spans="1:15" s="260" customFormat="1" hidden="1">
      <c r="A282" s="175"/>
      <c r="B282" s="8" t="s">
        <v>488</v>
      </c>
      <c r="C282" s="143"/>
      <c r="D282" s="59"/>
      <c r="E282" s="337"/>
      <c r="F282" s="177"/>
      <c r="G282" s="178"/>
      <c r="H282" s="179"/>
      <c r="I282" s="179"/>
      <c r="J282" s="180"/>
      <c r="K282" s="181"/>
      <c r="L282" s="139"/>
      <c r="M282" s="139"/>
      <c r="N282" s="16"/>
    </row>
    <row r="283" spans="1:15" s="260" customFormat="1" ht="34.5">
      <c r="A283" s="274">
        <v>82</v>
      </c>
      <c r="B283" s="65" t="s">
        <v>132</v>
      </c>
      <c r="C283" s="87" t="s">
        <v>58</v>
      </c>
      <c r="D283" s="200"/>
      <c r="E283" s="345" t="s">
        <v>252</v>
      </c>
      <c r="F283" s="258"/>
      <c r="G283" s="259"/>
      <c r="H283" s="198"/>
      <c r="I283" s="198"/>
      <c r="J283" s="199"/>
      <c r="K283" s="200"/>
      <c r="L283" s="44"/>
      <c r="M283" s="44"/>
      <c r="N283" s="15" t="s">
        <v>136</v>
      </c>
    </row>
    <row r="284" spans="1:15" s="139" customFormat="1">
      <c r="A284" s="170"/>
      <c r="B284" s="56" t="s">
        <v>3</v>
      </c>
      <c r="C284" s="171"/>
      <c r="D284" s="49">
        <v>473200</v>
      </c>
      <c r="E284" s="346"/>
      <c r="F284" s="172">
        <v>241418</v>
      </c>
      <c r="G284" s="172">
        <v>241478</v>
      </c>
      <c r="H284" s="145">
        <v>471000</v>
      </c>
      <c r="I284" s="145">
        <v>471000</v>
      </c>
      <c r="J284" s="146">
        <f>I284*100/H284</f>
        <v>100</v>
      </c>
      <c r="K284" s="68">
        <f>I284-H284</f>
        <v>0</v>
      </c>
      <c r="L284" s="576"/>
      <c r="M284" s="575">
        <f>D284-H284</f>
        <v>2200</v>
      </c>
      <c r="N284" s="15"/>
      <c r="O284" s="383"/>
    </row>
    <row r="285" spans="1:15" s="260" customFormat="1" ht="74.25" hidden="1" customHeight="1">
      <c r="A285" s="175"/>
      <c r="B285" s="8" t="s">
        <v>342</v>
      </c>
      <c r="C285" s="143"/>
      <c r="D285" s="59"/>
      <c r="E285" s="337"/>
      <c r="F285" s="177"/>
      <c r="G285" s="178"/>
      <c r="H285" s="179"/>
      <c r="I285" s="179"/>
      <c r="J285" s="180"/>
      <c r="K285" s="181"/>
      <c r="L285" s="139"/>
      <c r="M285" s="139"/>
      <c r="N285" s="15"/>
    </row>
    <row r="286" spans="1:15" s="55" customFormat="1" ht="45">
      <c r="A286" s="69">
        <v>83</v>
      </c>
      <c r="B286" s="129" t="s">
        <v>308</v>
      </c>
      <c r="C286" s="130" t="s">
        <v>58</v>
      </c>
      <c r="D286" s="75"/>
      <c r="E286" s="333" t="s">
        <v>320</v>
      </c>
      <c r="F286" s="131"/>
      <c r="G286" s="72"/>
      <c r="H286" s="73"/>
      <c r="I286" s="73"/>
      <c r="J286" s="74"/>
      <c r="K286" s="75"/>
      <c r="L286" s="76"/>
      <c r="M286" s="76"/>
      <c r="N286" s="538"/>
    </row>
    <row r="287" spans="1:15" s="55" customFormat="1">
      <c r="A287" s="77"/>
      <c r="B287" s="157" t="s">
        <v>3</v>
      </c>
      <c r="C287" s="79"/>
      <c r="D287" s="80">
        <v>1000000</v>
      </c>
      <c r="E287" s="327"/>
      <c r="F287" s="132"/>
      <c r="G287" s="82"/>
      <c r="H287" s="133">
        <v>616000</v>
      </c>
      <c r="I287" s="133"/>
      <c r="J287" s="134">
        <f>I287*100/D287</f>
        <v>0</v>
      </c>
      <c r="K287" s="85">
        <f>D287-I287-M287</f>
        <v>616000</v>
      </c>
      <c r="L287" s="86"/>
      <c r="M287" s="137">
        <v>384000</v>
      </c>
      <c r="N287" s="9"/>
    </row>
    <row r="288" spans="1:15" s="55" customFormat="1" ht="67.5">
      <c r="A288" s="122"/>
      <c r="B288" s="150" t="s">
        <v>624</v>
      </c>
      <c r="C288" s="159"/>
      <c r="D288" s="151"/>
      <c r="E288" s="339"/>
      <c r="F288" s="124"/>
      <c r="G288" s="138"/>
      <c r="H288" s="140"/>
      <c r="I288" s="140"/>
      <c r="J288" s="63"/>
      <c r="K288" s="64"/>
      <c r="L288" s="139"/>
      <c r="M288" s="139"/>
      <c r="N288" s="536" t="s">
        <v>612</v>
      </c>
    </row>
    <row r="289" spans="1:14" s="55" customFormat="1" ht="45">
      <c r="A289" s="69">
        <v>84</v>
      </c>
      <c r="B289" s="70" t="s">
        <v>486</v>
      </c>
      <c r="C289" s="130" t="s">
        <v>116</v>
      </c>
      <c r="D289" s="71"/>
      <c r="E289" s="347" t="s">
        <v>280</v>
      </c>
      <c r="F289" s="131"/>
      <c r="G289" s="72"/>
      <c r="H289" s="73"/>
      <c r="I289" s="73"/>
      <c r="J289" s="74"/>
      <c r="K289" s="75"/>
      <c r="L289" s="76"/>
      <c r="M289" s="76"/>
      <c r="N289" s="8" t="s">
        <v>136</v>
      </c>
    </row>
    <row r="290" spans="1:14" s="55" customFormat="1">
      <c r="A290" s="77"/>
      <c r="B290" s="157" t="s">
        <v>3</v>
      </c>
      <c r="C290" s="79"/>
      <c r="D290" s="80">
        <v>3115400</v>
      </c>
      <c r="E290" s="348"/>
      <c r="F290" s="132">
        <v>241551</v>
      </c>
      <c r="G290" s="132">
        <v>241601</v>
      </c>
      <c r="H290" s="133">
        <v>2170000</v>
      </c>
      <c r="I290" s="135">
        <v>2170000</v>
      </c>
      <c r="J290" s="136">
        <f>I290*100/I290</f>
        <v>100</v>
      </c>
      <c r="K290" s="137">
        <f>H290-I290</f>
        <v>0</v>
      </c>
      <c r="L290" s="86"/>
      <c r="M290" s="528">
        <f>D290-H290</f>
        <v>945400</v>
      </c>
      <c r="N290" s="9"/>
    </row>
    <row r="291" spans="1:14" s="55" customFormat="1" ht="45" hidden="1">
      <c r="A291" s="122"/>
      <c r="B291" s="8" t="s">
        <v>549</v>
      </c>
      <c r="C291" s="204"/>
      <c r="D291" s="151"/>
      <c r="E291" s="331"/>
      <c r="F291" s="124"/>
      <c r="G291" s="138"/>
      <c r="H291" s="140"/>
      <c r="I291" s="140"/>
      <c r="J291" s="63"/>
      <c r="K291" s="64"/>
      <c r="L291" s="139"/>
      <c r="M291" s="139"/>
      <c r="N291" s="8"/>
    </row>
    <row r="292" spans="1:14" s="55" customFormat="1" ht="67.5">
      <c r="A292" s="196">
        <v>85</v>
      </c>
      <c r="B292" s="70" t="s">
        <v>485</v>
      </c>
      <c r="C292" s="130" t="s">
        <v>116</v>
      </c>
      <c r="D292" s="71"/>
      <c r="E292" s="347" t="s">
        <v>280</v>
      </c>
      <c r="F292" s="131"/>
      <c r="G292" s="72"/>
      <c r="H292" s="73"/>
      <c r="I292" s="73"/>
      <c r="J292" s="74"/>
      <c r="K292" s="75"/>
      <c r="L292" s="76"/>
      <c r="M292" s="76"/>
      <c r="N292" s="8" t="s">
        <v>136</v>
      </c>
    </row>
    <row r="293" spans="1:14" s="55" customFormat="1">
      <c r="A293" s="77"/>
      <c r="B293" s="157" t="s">
        <v>3</v>
      </c>
      <c r="C293" s="79"/>
      <c r="D293" s="80">
        <v>4522800</v>
      </c>
      <c r="E293" s="348"/>
      <c r="F293" s="132">
        <v>241516</v>
      </c>
      <c r="G293" s="132">
        <v>241636</v>
      </c>
      <c r="H293" s="133">
        <v>2780000</v>
      </c>
      <c r="I293" s="135">
        <v>2780000</v>
      </c>
      <c r="J293" s="136">
        <f>I293*100/I293</f>
        <v>100</v>
      </c>
      <c r="K293" s="137">
        <f>H293-I293</f>
        <v>0</v>
      </c>
      <c r="L293" s="86"/>
      <c r="M293" s="528">
        <f>D293-H293</f>
        <v>1742800</v>
      </c>
      <c r="N293" s="9"/>
    </row>
    <row r="294" spans="1:14" s="268" customFormat="1" ht="67.5" hidden="1">
      <c r="A294" s="223"/>
      <c r="B294" s="222" t="s">
        <v>134</v>
      </c>
      <c r="C294" s="261"/>
      <c r="D294" s="262"/>
      <c r="E294" s="340"/>
      <c r="F294" s="225"/>
      <c r="G294" s="263"/>
      <c r="H294" s="264"/>
      <c r="I294" s="264"/>
      <c r="J294" s="265"/>
      <c r="K294" s="266"/>
      <c r="L294" s="267"/>
      <c r="M294" s="267"/>
      <c r="N294" s="8"/>
    </row>
    <row r="295" spans="1:14" s="55" customFormat="1" ht="45">
      <c r="A295" s="69">
        <v>86</v>
      </c>
      <c r="B295" s="129" t="s">
        <v>233</v>
      </c>
      <c r="C295" s="130" t="s">
        <v>116</v>
      </c>
      <c r="D295" s="75"/>
      <c r="E295" s="333" t="s">
        <v>316</v>
      </c>
      <c r="F295" s="131"/>
      <c r="G295" s="72"/>
      <c r="H295" s="73"/>
      <c r="I295" s="73"/>
      <c r="J295" s="74"/>
      <c r="K295" s="75"/>
      <c r="L295" s="76"/>
      <c r="M295" s="76"/>
      <c r="N295" s="127"/>
    </row>
    <row r="296" spans="1:14" s="55" customFormat="1">
      <c r="A296" s="77"/>
      <c r="B296" s="157" t="s">
        <v>3</v>
      </c>
      <c r="C296" s="79"/>
      <c r="D296" s="80">
        <v>1084000</v>
      </c>
      <c r="E296" s="334"/>
      <c r="F296" s="132">
        <v>241572</v>
      </c>
      <c r="G296" s="82">
        <v>241662</v>
      </c>
      <c r="H296" s="133">
        <v>879000</v>
      </c>
      <c r="I296" s="133"/>
      <c r="J296" s="134">
        <f>I296*100/D296</f>
        <v>0</v>
      </c>
      <c r="K296" s="85">
        <v>879000</v>
      </c>
      <c r="L296" s="86"/>
      <c r="M296" s="528">
        <f>D296-H296</f>
        <v>205000</v>
      </c>
      <c r="N296" s="9"/>
    </row>
    <row r="297" spans="1:14" s="55" customFormat="1" ht="45">
      <c r="A297" s="57"/>
      <c r="B297" s="150" t="s">
        <v>550</v>
      </c>
      <c r="C297" s="159"/>
      <c r="D297" s="151"/>
      <c r="E297" s="325"/>
      <c r="F297" s="124"/>
      <c r="G297" s="138"/>
      <c r="H297" s="140"/>
      <c r="I297" s="140"/>
      <c r="J297" s="63"/>
      <c r="K297" s="64"/>
      <c r="L297" s="139"/>
      <c r="M297" s="139"/>
      <c r="N297" s="539" t="s">
        <v>530</v>
      </c>
    </row>
    <row r="298" spans="1:14" s="55" customFormat="1" ht="45">
      <c r="A298" s="69">
        <v>87</v>
      </c>
      <c r="B298" s="535" t="s">
        <v>502</v>
      </c>
      <c r="C298" s="130" t="s">
        <v>116</v>
      </c>
      <c r="D298" s="75"/>
      <c r="E298" s="333" t="s">
        <v>535</v>
      </c>
      <c r="F298" s="131"/>
      <c r="G298" s="72"/>
      <c r="H298" s="73"/>
      <c r="I298" s="73"/>
      <c r="J298" s="74"/>
      <c r="K298" s="75"/>
      <c r="L298" s="76"/>
      <c r="M298" s="76"/>
      <c r="N298" s="536" t="s">
        <v>175</v>
      </c>
    </row>
    <row r="299" spans="1:14" s="55" customFormat="1">
      <c r="A299" s="77"/>
      <c r="B299" s="157" t="s">
        <v>2</v>
      </c>
      <c r="C299" s="79"/>
      <c r="D299" s="80">
        <v>500000</v>
      </c>
      <c r="E299" s="334"/>
      <c r="F299" s="132"/>
      <c r="G299" s="82"/>
      <c r="H299" s="133"/>
      <c r="I299" s="133"/>
      <c r="J299" s="134">
        <f>I299*100/D299</f>
        <v>0</v>
      </c>
      <c r="K299" s="85">
        <f>D299-I299</f>
        <v>500000</v>
      </c>
      <c r="L299" s="86"/>
      <c r="M299" s="86"/>
      <c r="N299" s="9"/>
    </row>
    <row r="300" spans="1:14" s="55" customFormat="1" ht="45">
      <c r="A300" s="69">
        <v>88</v>
      </c>
      <c r="B300" s="535" t="s">
        <v>503</v>
      </c>
      <c r="C300" s="130" t="s">
        <v>116</v>
      </c>
      <c r="D300" s="75"/>
      <c r="E300" s="333" t="s">
        <v>535</v>
      </c>
      <c r="F300" s="131"/>
      <c r="G300" s="72"/>
      <c r="H300" s="73"/>
      <c r="I300" s="73"/>
      <c r="J300" s="74"/>
      <c r="K300" s="75"/>
      <c r="L300" s="76"/>
      <c r="M300" s="76"/>
      <c r="N300" s="536" t="s">
        <v>175</v>
      </c>
    </row>
    <row r="301" spans="1:14" s="55" customFormat="1">
      <c r="A301" s="77"/>
      <c r="B301" s="157" t="s">
        <v>2</v>
      </c>
      <c r="C301" s="79"/>
      <c r="D301" s="80">
        <v>700000</v>
      </c>
      <c r="E301" s="334"/>
      <c r="F301" s="132"/>
      <c r="G301" s="82"/>
      <c r="H301" s="133"/>
      <c r="I301" s="133"/>
      <c r="J301" s="134">
        <f>I301*100/D301</f>
        <v>0</v>
      </c>
      <c r="K301" s="85">
        <f>D301-I301</f>
        <v>700000</v>
      </c>
      <c r="L301" s="86"/>
      <c r="M301" s="86"/>
      <c r="N301" s="9"/>
    </row>
    <row r="302" spans="1:14" s="55" customFormat="1" ht="45">
      <c r="A302" s="69">
        <v>89</v>
      </c>
      <c r="B302" s="535" t="s">
        <v>504</v>
      </c>
      <c r="C302" s="130" t="s">
        <v>116</v>
      </c>
      <c r="D302" s="75"/>
      <c r="E302" s="333" t="s">
        <v>535</v>
      </c>
      <c r="F302" s="131"/>
      <c r="G302" s="72"/>
      <c r="H302" s="73"/>
      <c r="I302" s="73"/>
      <c r="J302" s="74"/>
      <c r="K302" s="75"/>
      <c r="L302" s="76"/>
      <c r="M302" s="76"/>
      <c r="N302" s="536" t="s">
        <v>175</v>
      </c>
    </row>
    <row r="303" spans="1:14" s="55" customFormat="1">
      <c r="A303" s="77"/>
      <c r="B303" s="157" t="s">
        <v>2</v>
      </c>
      <c r="C303" s="79"/>
      <c r="D303" s="80">
        <v>800000</v>
      </c>
      <c r="E303" s="334"/>
      <c r="F303" s="132"/>
      <c r="G303" s="82"/>
      <c r="H303" s="133"/>
      <c r="I303" s="133"/>
      <c r="J303" s="134">
        <f>I303*100/D303</f>
        <v>0</v>
      </c>
      <c r="K303" s="85">
        <f>D303-I303</f>
        <v>800000</v>
      </c>
      <c r="L303" s="86"/>
      <c r="M303" s="86"/>
      <c r="N303" s="9"/>
    </row>
    <row r="304" spans="1:14" s="260" customFormat="1" ht="45">
      <c r="A304" s="257">
        <v>90</v>
      </c>
      <c r="B304" s="65" t="s">
        <v>59</v>
      </c>
      <c r="C304" s="87" t="s">
        <v>60</v>
      </c>
      <c r="D304" s="200"/>
      <c r="E304" s="345" t="s">
        <v>250</v>
      </c>
      <c r="F304" s="258"/>
      <c r="G304" s="259"/>
      <c r="H304" s="198"/>
      <c r="I304" s="198"/>
      <c r="J304" s="199"/>
      <c r="K304" s="200"/>
      <c r="L304" s="44"/>
      <c r="M304" s="44"/>
      <c r="N304" s="385"/>
    </row>
    <row r="305" spans="1:15" s="275" customFormat="1">
      <c r="A305" s="170"/>
      <c r="B305" s="56" t="s">
        <v>3</v>
      </c>
      <c r="C305" s="171"/>
      <c r="D305" s="49">
        <v>5972000</v>
      </c>
      <c r="E305" s="346"/>
      <c r="F305" s="172">
        <v>241570</v>
      </c>
      <c r="G305" s="172">
        <v>241720</v>
      </c>
      <c r="H305" s="145"/>
      <c r="I305" s="145"/>
      <c r="J305" s="146">
        <f>I305*100/D305</f>
        <v>0</v>
      </c>
      <c r="K305" s="145">
        <v>4500000</v>
      </c>
      <c r="L305" s="576"/>
      <c r="M305" s="575">
        <f>D305-K305</f>
        <v>1472000</v>
      </c>
      <c r="N305" s="15"/>
    </row>
    <row r="306" spans="1:15" s="260" customFormat="1" ht="90">
      <c r="A306" s="175"/>
      <c r="B306" s="8" t="s">
        <v>548</v>
      </c>
      <c r="C306" s="143"/>
      <c r="D306" s="59"/>
      <c r="E306" s="337"/>
      <c r="F306" s="177"/>
      <c r="G306" s="178"/>
      <c r="H306" s="179"/>
      <c r="I306" s="179"/>
      <c r="J306" s="180"/>
      <c r="K306" s="181"/>
      <c r="L306" s="139"/>
      <c r="M306" s="139"/>
      <c r="N306" s="8" t="s">
        <v>613</v>
      </c>
    </row>
    <row r="307" spans="1:15" s="55" customFormat="1" ht="45">
      <c r="A307" s="69">
        <v>91</v>
      </c>
      <c r="B307" s="129" t="s">
        <v>230</v>
      </c>
      <c r="C307" s="130" t="s">
        <v>60</v>
      </c>
      <c r="D307" s="75"/>
      <c r="E307" s="333" t="s">
        <v>317</v>
      </c>
      <c r="F307" s="131"/>
      <c r="G307" s="72"/>
      <c r="H307" s="73"/>
      <c r="I307" s="73"/>
      <c r="J307" s="74"/>
      <c r="K307" s="75"/>
      <c r="L307" s="76"/>
      <c r="M307" s="76"/>
      <c r="N307" s="16" t="s">
        <v>136</v>
      </c>
    </row>
    <row r="308" spans="1:15" s="55" customFormat="1">
      <c r="A308" s="77"/>
      <c r="B308" s="157" t="s">
        <v>3</v>
      </c>
      <c r="C308" s="79"/>
      <c r="D308" s="80">
        <v>1065000</v>
      </c>
      <c r="E308" s="334"/>
      <c r="F308" s="132">
        <v>241544</v>
      </c>
      <c r="G308" s="132">
        <v>241608</v>
      </c>
      <c r="H308" s="133">
        <v>780000</v>
      </c>
      <c r="I308" s="133">
        <v>780000</v>
      </c>
      <c r="J308" s="134">
        <f>I308*100/I308</f>
        <v>100</v>
      </c>
      <c r="K308" s="85">
        <f>H308-I308</f>
        <v>0</v>
      </c>
      <c r="L308" s="86"/>
      <c r="M308" s="528">
        <f>D308-H308</f>
        <v>285000</v>
      </c>
      <c r="N308" s="9"/>
    </row>
    <row r="309" spans="1:15" s="55" customFormat="1" ht="67.5" hidden="1">
      <c r="A309" s="57"/>
      <c r="B309" s="150" t="s">
        <v>547</v>
      </c>
      <c r="C309" s="159"/>
      <c r="D309" s="151"/>
      <c r="E309" s="325"/>
      <c r="F309" s="124"/>
      <c r="G309" s="61"/>
      <c r="H309" s="140"/>
      <c r="I309" s="140"/>
      <c r="J309" s="63"/>
      <c r="K309" s="64"/>
      <c r="L309" s="139"/>
      <c r="M309" s="139"/>
      <c r="N309" s="16"/>
    </row>
    <row r="310" spans="1:15" s="260" customFormat="1" ht="45">
      <c r="A310" s="257">
        <v>92</v>
      </c>
      <c r="B310" s="65" t="s">
        <v>551</v>
      </c>
      <c r="C310" s="87" t="s">
        <v>64</v>
      </c>
      <c r="D310" s="200"/>
      <c r="E310" s="345" t="s">
        <v>254</v>
      </c>
      <c r="F310" s="258"/>
      <c r="G310" s="259"/>
      <c r="H310" s="198"/>
      <c r="I310" s="198"/>
      <c r="J310" s="199"/>
      <c r="K310" s="200"/>
      <c r="L310" s="44"/>
      <c r="M310" s="44"/>
      <c r="N310" s="16" t="s">
        <v>136</v>
      </c>
    </row>
    <row r="311" spans="1:15" s="139" customFormat="1">
      <c r="A311" s="170"/>
      <c r="B311" s="56" t="s">
        <v>3</v>
      </c>
      <c r="C311" s="171"/>
      <c r="D311" s="49">
        <v>1695400</v>
      </c>
      <c r="E311" s="336"/>
      <c r="F311" s="172">
        <v>241416</v>
      </c>
      <c r="G311" s="172">
        <v>241446</v>
      </c>
      <c r="H311" s="145">
        <v>1200000</v>
      </c>
      <c r="I311" s="145">
        <v>1200000</v>
      </c>
      <c r="J311" s="146">
        <f>I311*100/H311</f>
        <v>100</v>
      </c>
      <c r="K311" s="68">
        <f>H311-I311</f>
        <v>0</v>
      </c>
      <c r="L311" s="576"/>
      <c r="M311" s="575">
        <f>D311-I311</f>
        <v>495400</v>
      </c>
      <c r="N311" s="15"/>
      <c r="O311" s="383"/>
    </row>
    <row r="312" spans="1:15" s="260" customFormat="1" ht="67.5" hidden="1">
      <c r="A312" s="175"/>
      <c r="B312" s="8" t="s">
        <v>343</v>
      </c>
      <c r="C312" s="143"/>
      <c r="D312" s="139"/>
      <c r="E312" s="350"/>
      <c r="F312" s="139"/>
      <c r="G312" s="139"/>
      <c r="H312" s="139"/>
      <c r="I312" s="139"/>
      <c r="J312" s="139"/>
      <c r="K312" s="139"/>
      <c r="L312" s="139"/>
      <c r="M312" s="139"/>
      <c r="N312" s="16"/>
    </row>
    <row r="313" spans="1:15" s="260" customFormat="1" ht="45">
      <c r="A313" s="257">
        <v>93</v>
      </c>
      <c r="B313" s="65" t="s">
        <v>237</v>
      </c>
      <c r="C313" s="87" t="s">
        <v>64</v>
      </c>
      <c r="D313" s="200"/>
      <c r="E313" s="345" t="s">
        <v>254</v>
      </c>
      <c r="F313" s="258"/>
      <c r="G313" s="259"/>
      <c r="H313" s="198"/>
      <c r="I313" s="198"/>
      <c r="J313" s="199"/>
      <c r="K313" s="200"/>
      <c r="L313" s="44"/>
      <c r="M313" s="44"/>
      <c r="N313" s="16" t="s">
        <v>136</v>
      </c>
    </row>
    <row r="314" spans="1:15" s="139" customFormat="1">
      <c r="A314" s="170"/>
      <c r="B314" s="56" t="s">
        <v>3</v>
      </c>
      <c r="C314" s="171"/>
      <c r="D314" s="49">
        <v>1372000</v>
      </c>
      <c r="E314" s="351"/>
      <c r="F314" s="271">
        <v>241416</v>
      </c>
      <c r="G314" s="271">
        <v>241461</v>
      </c>
      <c r="H314" s="272">
        <v>1029000</v>
      </c>
      <c r="I314" s="272">
        <v>1029000</v>
      </c>
      <c r="J314" s="273">
        <f>I314*100/H314</f>
        <v>100</v>
      </c>
      <c r="K314" s="68">
        <f>H314-I314</f>
        <v>0</v>
      </c>
      <c r="L314" s="576"/>
      <c r="M314" s="575">
        <f>D314-H314</f>
        <v>343000</v>
      </c>
      <c r="N314" s="15"/>
      <c r="O314" s="383"/>
    </row>
    <row r="315" spans="1:15" s="260" customFormat="1" ht="67.5" hidden="1">
      <c r="A315" s="175"/>
      <c r="B315" s="8" t="s">
        <v>344</v>
      </c>
      <c r="C315" s="143"/>
      <c r="D315" s="139"/>
      <c r="E315" s="350"/>
      <c r="F315" s="139"/>
      <c r="G315" s="139"/>
      <c r="H315" s="139"/>
      <c r="I315" s="139"/>
      <c r="J315" s="139"/>
      <c r="K315" s="139"/>
      <c r="L315" s="139"/>
      <c r="M315" s="139"/>
      <c r="N315" s="16"/>
    </row>
    <row r="316" spans="1:15" s="55" customFormat="1" ht="67.5">
      <c r="A316" s="69">
        <v>94</v>
      </c>
      <c r="B316" s="129" t="s">
        <v>232</v>
      </c>
      <c r="C316" s="130" t="s">
        <v>62</v>
      </c>
      <c r="D316" s="75"/>
      <c r="E316" s="333" t="s">
        <v>319</v>
      </c>
      <c r="F316" s="131"/>
      <c r="G316" s="72"/>
      <c r="H316" s="73"/>
      <c r="I316" s="73"/>
      <c r="J316" s="74"/>
      <c r="K316" s="75"/>
      <c r="L316" s="76"/>
      <c r="M316" s="76"/>
      <c r="N316" s="13" t="s">
        <v>136</v>
      </c>
    </row>
    <row r="317" spans="1:15" s="55" customFormat="1">
      <c r="A317" s="77"/>
      <c r="B317" s="157" t="s">
        <v>3</v>
      </c>
      <c r="C317" s="79"/>
      <c r="D317" s="80">
        <v>498000</v>
      </c>
      <c r="E317" s="334"/>
      <c r="F317" s="132">
        <v>22360</v>
      </c>
      <c r="G317" s="132">
        <v>22420</v>
      </c>
      <c r="H317" s="133">
        <v>498000</v>
      </c>
      <c r="I317" s="133">
        <v>498000</v>
      </c>
      <c r="J317" s="134">
        <f>I317*100/D317</f>
        <v>100</v>
      </c>
      <c r="K317" s="85">
        <f>D317-I317</f>
        <v>0</v>
      </c>
      <c r="L317" s="86"/>
      <c r="M317" s="86"/>
      <c r="N317" s="9"/>
    </row>
    <row r="318" spans="1:15" s="55" customFormat="1" ht="90" hidden="1">
      <c r="A318" s="57"/>
      <c r="B318" s="150" t="s">
        <v>234</v>
      </c>
      <c r="C318" s="159"/>
      <c r="D318" s="151"/>
      <c r="E318" s="325"/>
      <c r="F318" s="124"/>
      <c r="G318" s="138"/>
      <c r="H318" s="140"/>
      <c r="I318" s="140"/>
      <c r="J318" s="63"/>
      <c r="K318" s="64"/>
      <c r="L318" s="139"/>
      <c r="M318" s="139"/>
      <c r="N318" s="9"/>
    </row>
    <row r="319" spans="1:15" s="55" customFormat="1" ht="67.5">
      <c r="A319" s="69">
        <v>95</v>
      </c>
      <c r="B319" s="129" t="s">
        <v>310</v>
      </c>
      <c r="C319" s="130" t="s">
        <v>62</v>
      </c>
      <c r="D319" s="75"/>
      <c r="E319" s="333" t="s">
        <v>319</v>
      </c>
      <c r="F319" s="131"/>
      <c r="G319" s="72"/>
      <c r="H319" s="73"/>
      <c r="I319" s="73"/>
      <c r="J319" s="74"/>
      <c r="K319" s="75"/>
      <c r="L319" s="76"/>
      <c r="M319" s="76"/>
      <c r="N319" s="13" t="s">
        <v>136</v>
      </c>
    </row>
    <row r="320" spans="1:15" s="55" customFormat="1">
      <c r="A320" s="77"/>
      <c r="B320" s="157" t="s">
        <v>3</v>
      </c>
      <c r="C320" s="79"/>
      <c r="D320" s="80">
        <v>217000</v>
      </c>
      <c r="E320" s="334"/>
      <c r="F320" s="132">
        <v>22360</v>
      </c>
      <c r="G320" s="132">
        <v>22420</v>
      </c>
      <c r="H320" s="133">
        <v>217000</v>
      </c>
      <c r="I320" s="133">
        <v>217000</v>
      </c>
      <c r="J320" s="134">
        <f>I320*100/D320</f>
        <v>100</v>
      </c>
      <c r="K320" s="85">
        <f>D320-I320</f>
        <v>0</v>
      </c>
      <c r="L320" s="86"/>
      <c r="M320" s="86"/>
      <c r="N320" s="9"/>
    </row>
    <row r="321" spans="1:14" s="55" customFormat="1" ht="90" hidden="1">
      <c r="A321" s="57"/>
      <c r="B321" s="150" t="s">
        <v>235</v>
      </c>
      <c r="C321" s="159"/>
      <c r="D321" s="151"/>
      <c r="E321" s="325"/>
      <c r="F321" s="124"/>
      <c r="G321" s="138"/>
      <c r="H321" s="140"/>
      <c r="I321" s="140"/>
      <c r="J321" s="63"/>
      <c r="K321" s="64"/>
      <c r="L321" s="139"/>
      <c r="M321" s="139"/>
      <c r="N321" s="9"/>
    </row>
    <row r="322" spans="1:14" s="55" customFormat="1" ht="45">
      <c r="A322" s="69">
        <v>96</v>
      </c>
      <c r="B322" s="129" t="s">
        <v>585</v>
      </c>
      <c r="C322" s="130" t="s">
        <v>62</v>
      </c>
      <c r="D322" s="75"/>
      <c r="E322" s="333" t="s">
        <v>599</v>
      </c>
      <c r="F322" s="131"/>
      <c r="G322" s="72"/>
      <c r="H322" s="73"/>
      <c r="I322" s="73"/>
      <c r="J322" s="74"/>
      <c r="K322" s="75"/>
      <c r="L322" s="76"/>
      <c r="M322" s="76"/>
      <c r="N322" s="13" t="s">
        <v>160</v>
      </c>
    </row>
    <row r="323" spans="1:14" s="55" customFormat="1">
      <c r="A323" s="77"/>
      <c r="B323" s="157" t="s">
        <v>3</v>
      </c>
      <c r="C323" s="79"/>
      <c r="D323" s="80">
        <v>912500</v>
      </c>
      <c r="E323" s="334"/>
      <c r="F323" s="132"/>
      <c r="G323" s="132"/>
      <c r="H323" s="80">
        <v>500000</v>
      </c>
      <c r="I323" s="133"/>
      <c r="J323" s="134">
        <f>I323*100/D323</f>
        <v>0</v>
      </c>
      <c r="K323" s="85">
        <f>D323-I323-M323</f>
        <v>500000</v>
      </c>
      <c r="L323" s="86"/>
      <c r="M323" s="528">
        <f>D323-H323</f>
        <v>412500</v>
      </c>
      <c r="N323" s="9"/>
    </row>
    <row r="324" spans="1:14" s="55" customFormat="1" ht="45">
      <c r="A324" s="196">
        <v>97</v>
      </c>
      <c r="B324" s="129" t="s">
        <v>350</v>
      </c>
      <c r="C324" s="130" t="s">
        <v>231</v>
      </c>
      <c r="D324" s="75"/>
      <c r="E324" s="333" t="s">
        <v>321</v>
      </c>
      <c r="F324" s="131"/>
      <c r="G324" s="72"/>
      <c r="H324" s="73"/>
      <c r="I324" s="73"/>
      <c r="J324" s="74"/>
      <c r="K324" s="75"/>
      <c r="L324" s="76"/>
      <c r="M324" s="76"/>
      <c r="N324" s="13" t="s">
        <v>136</v>
      </c>
    </row>
    <row r="325" spans="1:14" s="55" customFormat="1">
      <c r="A325" s="77"/>
      <c r="B325" s="157" t="s">
        <v>3</v>
      </c>
      <c r="C325" s="79"/>
      <c r="D325" s="80">
        <v>2000000</v>
      </c>
      <c r="E325" s="327"/>
      <c r="F325" s="132">
        <v>241565</v>
      </c>
      <c r="G325" s="82">
        <v>241625</v>
      </c>
      <c r="H325" s="133">
        <v>1819000</v>
      </c>
      <c r="I325" s="133">
        <v>1819000</v>
      </c>
      <c r="J325" s="134">
        <f>I325*100/I325</f>
        <v>100</v>
      </c>
      <c r="K325" s="85">
        <f>H325-I325</f>
        <v>0</v>
      </c>
      <c r="L325" s="86"/>
      <c r="M325" s="528">
        <f>D325-H325</f>
        <v>181000</v>
      </c>
      <c r="N325" s="9"/>
    </row>
    <row r="326" spans="1:14" s="55" customFormat="1" ht="45" hidden="1">
      <c r="A326" s="57"/>
      <c r="B326" s="150" t="s">
        <v>309</v>
      </c>
      <c r="C326" s="159"/>
      <c r="D326" s="151"/>
      <c r="E326" s="339"/>
      <c r="F326" s="124"/>
      <c r="G326" s="138"/>
      <c r="H326" s="140"/>
      <c r="I326" s="140"/>
      <c r="J326" s="63"/>
      <c r="K326" s="64"/>
      <c r="L326" s="139"/>
      <c r="M326" s="139"/>
      <c r="N326" s="13"/>
    </row>
    <row r="327" spans="1:14" s="55" customFormat="1" ht="45">
      <c r="A327" s="69">
        <v>98</v>
      </c>
      <c r="B327" s="129" t="s">
        <v>351</v>
      </c>
      <c r="C327" s="130" t="s">
        <v>231</v>
      </c>
      <c r="D327" s="75"/>
      <c r="E327" s="333" t="s">
        <v>318</v>
      </c>
      <c r="F327" s="131"/>
      <c r="G327" s="72"/>
      <c r="H327" s="73"/>
      <c r="I327" s="73"/>
      <c r="J327" s="74"/>
      <c r="K327" s="75"/>
      <c r="L327" s="76"/>
      <c r="M327" s="76"/>
      <c r="N327" s="13" t="s">
        <v>136</v>
      </c>
    </row>
    <row r="328" spans="1:14" s="55" customFormat="1">
      <c r="A328" s="77"/>
      <c r="B328" s="157" t="s">
        <v>3</v>
      </c>
      <c r="C328" s="79"/>
      <c r="D328" s="80">
        <v>1500000</v>
      </c>
      <c r="E328" s="334"/>
      <c r="F328" s="132">
        <v>241565</v>
      </c>
      <c r="G328" s="132">
        <v>241625</v>
      </c>
      <c r="H328" s="133">
        <v>1389000</v>
      </c>
      <c r="I328" s="133">
        <v>1389000</v>
      </c>
      <c r="J328" s="134">
        <f>I328*100/I328</f>
        <v>100</v>
      </c>
      <c r="K328" s="85">
        <f>H328-I328</f>
        <v>0</v>
      </c>
      <c r="L328" s="86"/>
      <c r="M328" s="528">
        <f>D328-H328</f>
        <v>111000</v>
      </c>
      <c r="N328" s="9"/>
    </row>
    <row r="329" spans="1:14" s="55" customFormat="1" ht="67.5" hidden="1">
      <c r="A329" s="57"/>
      <c r="B329" s="150" t="s">
        <v>553</v>
      </c>
      <c r="C329" s="159"/>
      <c r="D329" s="151"/>
      <c r="E329" s="325"/>
      <c r="F329" s="124"/>
      <c r="G329" s="138"/>
      <c r="H329" s="140"/>
      <c r="I329" s="140"/>
      <c r="J329" s="63"/>
      <c r="K329" s="64"/>
      <c r="L329" s="139"/>
      <c r="M329" s="139"/>
      <c r="N329" s="13"/>
    </row>
    <row r="330" spans="1:14" s="55" customFormat="1" ht="45">
      <c r="A330" s="196">
        <v>99</v>
      </c>
      <c r="B330" s="70" t="s">
        <v>297</v>
      </c>
      <c r="C330" s="130" t="s">
        <v>61</v>
      </c>
      <c r="D330" s="71"/>
      <c r="E330" s="347" t="s">
        <v>304</v>
      </c>
      <c r="F330" s="131"/>
      <c r="G330" s="72"/>
      <c r="H330" s="73"/>
      <c r="I330" s="73"/>
      <c r="J330" s="74"/>
      <c r="K330" s="75"/>
      <c r="L330" s="76"/>
      <c r="M330" s="76"/>
      <c r="N330" s="9"/>
    </row>
    <row r="331" spans="1:14" s="55" customFormat="1">
      <c r="A331" s="77"/>
      <c r="B331" s="157" t="s">
        <v>3</v>
      </c>
      <c r="C331" s="79"/>
      <c r="D331" s="80">
        <v>13279000</v>
      </c>
      <c r="E331" s="348"/>
      <c r="F331" s="132"/>
      <c r="G331" s="82"/>
      <c r="H331" s="133">
        <v>10623200</v>
      </c>
      <c r="I331" s="135"/>
      <c r="J331" s="136">
        <f>I331*100/D331</f>
        <v>0</v>
      </c>
      <c r="K331" s="137">
        <f>H331-I331</f>
        <v>10623200</v>
      </c>
      <c r="L331" s="86"/>
      <c r="M331" s="673">
        <f>D331-H331</f>
        <v>2655800</v>
      </c>
      <c r="N331" s="9"/>
    </row>
    <row r="332" spans="1:14" s="268" customFormat="1" ht="45">
      <c r="A332" s="223"/>
      <c r="B332" s="222" t="s">
        <v>554</v>
      </c>
      <c r="C332" s="261"/>
      <c r="D332" s="262"/>
      <c r="E332" s="340"/>
      <c r="F332" s="225"/>
      <c r="G332" s="263"/>
      <c r="H332" s="264"/>
      <c r="I332" s="264"/>
      <c r="J332" s="265"/>
      <c r="K332" s="266"/>
      <c r="L332" s="267"/>
      <c r="M332" s="267"/>
      <c r="N332" s="8" t="s">
        <v>622</v>
      </c>
    </row>
    <row r="333" spans="1:14" s="55" customFormat="1" ht="45">
      <c r="A333" s="196">
        <v>100</v>
      </c>
      <c r="B333" s="70" t="s">
        <v>584</v>
      </c>
      <c r="C333" s="130" t="s">
        <v>61</v>
      </c>
      <c r="D333" s="71"/>
      <c r="E333" s="333" t="s">
        <v>608</v>
      </c>
      <c r="F333" s="131"/>
      <c r="G333" s="72"/>
      <c r="H333" s="73"/>
      <c r="I333" s="73"/>
      <c r="J333" s="74"/>
      <c r="K333" s="75"/>
      <c r="L333" s="76"/>
      <c r="M333" s="76"/>
      <c r="N333" s="9"/>
    </row>
    <row r="334" spans="1:14" s="55" customFormat="1">
      <c r="A334" s="77"/>
      <c r="B334" s="157" t="s">
        <v>3</v>
      </c>
      <c r="C334" s="79"/>
      <c r="D334" s="80">
        <v>990500</v>
      </c>
      <c r="E334" s="348"/>
      <c r="F334" s="132"/>
      <c r="G334" s="82"/>
      <c r="H334" s="133">
        <v>815000</v>
      </c>
      <c r="I334" s="135"/>
      <c r="J334" s="136">
        <f>I334*100/D334</f>
        <v>0</v>
      </c>
      <c r="K334" s="137">
        <f>D334-I334-M334</f>
        <v>815000</v>
      </c>
      <c r="L334" s="86"/>
      <c r="M334" s="528">
        <f>D334-H334</f>
        <v>175500</v>
      </c>
      <c r="N334" s="9"/>
    </row>
    <row r="335" spans="1:14" s="268" customFormat="1" ht="45">
      <c r="A335" s="223"/>
      <c r="B335" s="222" t="s">
        <v>607</v>
      </c>
      <c r="C335" s="261"/>
      <c r="D335" s="262"/>
      <c r="E335" s="340"/>
      <c r="F335" s="225"/>
      <c r="G335" s="263"/>
      <c r="H335" s="264"/>
      <c r="I335" s="264"/>
      <c r="J335" s="265"/>
      <c r="K335" s="266"/>
      <c r="L335" s="267"/>
      <c r="M335" s="267"/>
      <c r="N335" s="13" t="s">
        <v>160</v>
      </c>
    </row>
    <row r="336" spans="1:14" s="277" customFormat="1">
      <c r="A336" s="37"/>
      <c r="B336" s="276" t="s">
        <v>110</v>
      </c>
      <c r="C336" s="92"/>
      <c r="D336" s="200">
        <v>9000000</v>
      </c>
      <c r="E336" s="324"/>
      <c r="F336" s="50"/>
      <c r="G336" s="51"/>
      <c r="H336" s="52"/>
      <c r="I336" s="52">
        <v>6286854.7000000002</v>
      </c>
      <c r="J336" s="128">
        <f>I336/D336*100</f>
        <v>69.853941111111112</v>
      </c>
      <c r="K336" s="54">
        <f>D336-I336</f>
        <v>2713145.3</v>
      </c>
      <c r="L336" s="68">
        <v>3221</v>
      </c>
      <c r="M336" s="576"/>
      <c r="N336" s="9"/>
    </row>
    <row r="337" spans="1:14" s="32" customFormat="1" ht="30" customHeight="1">
      <c r="A337" s="757" t="s">
        <v>600</v>
      </c>
      <c r="B337" s="757"/>
      <c r="C337" s="757"/>
      <c r="D337" s="624">
        <v>345819000</v>
      </c>
      <c r="E337" s="352"/>
      <c r="F337" s="278"/>
      <c r="G337" s="278"/>
      <c r="H337" s="278"/>
      <c r="I337" s="279">
        <f>SUM(I5+I10+I12+I14+I16+I18+I19+I28+I30+I32+I34+I36+I40+I51+I53+I55+I58+I60+I62+I67+I69+I70+I74+I79+I81+I83+I89+I91+I93+I94+I97+I102+I104+I106+I108+I111+I113+I115+I117+I119+I124+I128+I129+I145+I163+I166+I168+I172+I175+I178+I182+I185+I188+I194+I196+I205+I209+I223+I230+I233+I235+I242+I243+I250+I253+I256+I259+I262+I265+I268+I271+I274+I276+I281+I284+I287+I290+I293+I296+I299+I301+I303+I305+I308+I311+I314+I317+I320+I325+I328+I331+I336+I121+I65+I126+I191+I238+I240+I334)</f>
        <v>187866454.48999998</v>
      </c>
      <c r="J337" s="280">
        <f>I337*100/D337</f>
        <v>54.325081759533155</v>
      </c>
      <c r="K337" s="279">
        <f>D337-I337</f>
        <v>157952545.51000002</v>
      </c>
      <c r="L337" s="281">
        <f>SUM(L5:L336)</f>
        <v>12851701.649999999</v>
      </c>
      <c r="M337" s="281">
        <f>SUM(M5:M336)</f>
        <v>38021952.289999999</v>
      </c>
      <c r="N337" s="20"/>
    </row>
    <row r="338" spans="1:14" s="284" customFormat="1" ht="30" hidden="1" customHeight="1">
      <c r="A338" s="282" t="s">
        <v>241</v>
      </c>
      <c r="B338" s="282"/>
      <c r="C338" s="308"/>
      <c r="D338" s="283"/>
      <c r="E338" s="723" t="s">
        <v>345</v>
      </c>
      <c r="F338" s="723"/>
      <c r="G338" s="723"/>
      <c r="H338" s="723"/>
      <c r="I338" s="723"/>
      <c r="J338" s="723"/>
      <c r="K338" s="723"/>
      <c r="L338" s="755">
        <v>64422700</v>
      </c>
      <c r="M338" s="756"/>
      <c r="N338" s="21"/>
    </row>
    <row r="339" spans="1:14" s="284" customFormat="1">
      <c r="A339" s="282"/>
      <c r="B339" s="282"/>
      <c r="C339" s="308"/>
      <c r="D339" s="283"/>
      <c r="E339" s="758" t="s">
        <v>640</v>
      </c>
      <c r="F339" s="759"/>
      <c r="G339" s="759"/>
      <c r="H339" s="759"/>
      <c r="I339" s="759"/>
      <c r="J339" s="759"/>
      <c r="K339" s="760"/>
      <c r="L339" s="761">
        <v>15986449.060000001</v>
      </c>
      <c r="M339" s="762"/>
      <c r="N339" s="21"/>
    </row>
    <row r="340" spans="1:14" s="284" customFormat="1">
      <c r="A340" s="282"/>
      <c r="B340" s="282"/>
      <c r="C340" s="308"/>
      <c r="D340" s="283"/>
      <c r="E340" s="723" t="s">
        <v>177</v>
      </c>
      <c r="F340" s="723"/>
      <c r="G340" s="723"/>
      <c r="H340" s="723"/>
      <c r="I340" s="723"/>
      <c r="J340" s="723"/>
      <c r="K340" s="723"/>
      <c r="L340" s="730">
        <f>L337+M337</f>
        <v>50873653.939999998</v>
      </c>
      <c r="M340" s="731"/>
      <c r="N340" s="21"/>
    </row>
    <row r="341" spans="1:14" s="45" customFormat="1">
      <c r="A341" s="24"/>
      <c r="C341" s="309"/>
      <c r="E341" s="716" t="s">
        <v>604</v>
      </c>
      <c r="F341" s="717"/>
      <c r="G341" s="717"/>
      <c r="H341" s="717"/>
      <c r="I341" s="717"/>
      <c r="J341" s="717"/>
      <c r="K341" s="718"/>
      <c r="L341" s="742">
        <v>25749700</v>
      </c>
      <c r="M341" s="742"/>
      <c r="N341" s="7"/>
    </row>
    <row r="342" spans="1:14" s="45" customFormat="1" hidden="1">
      <c r="A342" s="24"/>
      <c r="C342" s="309"/>
      <c r="E342" s="727" t="s">
        <v>200</v>
      </c>
      <c r="F342" s="727"/>
      <c r="G342" s="727"/>
      <c r="H342" s="727"/>
      <c r="I342" s="727"/>
      <c r="J342" s="727"/>
      <c r="K342" s="727"/>
      <c r="L342" s="719">
        <v>10063850</v>
      </c>
      <c r="M342" s="720"/>
      <c r="N342" s="22"/>
    </row>
    <row r="343" spans="1:14" s="45" customFormat="1" hidden="1">
      <c r="A343" s="24"/>
      <c r="C343" s="309"/>
      <c r="E343" s="724" t="s">
        <v>176</v>
      </c>
      <c r="F343" s="724"/>
      <c r="G343" s="724"/>
      <c r="H343" s="724"/>
      <c r="I343" s="724"/>
      <c r="J343" s="724"/>
      <c r="K343" s="724"/>
      <c r="L343" s="725">
        <f>L338+L340+L342</f>
        <v>125360203.94</v>
      </c>
      <c r="M343" s="726"/>
      <c r="N343" s="7"/>
    </row>
    <row r="344" spans="1:14" hidden="1">
      <c r="E344" s="729" t="s">
        <v>163</v>
      </c>
      <c r="F344" s="729"/>
      <c r="G344" s="729"/>
      <c r="H344" s="729"/>
      <c r="I344" s="729"/>
      <c r="J344" s="729"/>
      <c r="K344" s="729"/>
      <c r="L344" s="730">
        <v>11770400</v>
      </c>
      <c r="M344" s="731"/>
    </row>
    <row r="345" spans="1:14" hidden="1">
      <c r="E345" s="729" t="s">
        <v>210</v>
      </c>
      <c r="F345" s="729"/>
      <c r="G345" s="729"/>
      <c r="H345" s="729"/>
      <c r="I345" s="729"/>
      <c r="J345" s="729"/>
      <c r="K345" s="729"/>
      <c r="L345" s="719">
        <v>39585600</v>
      </c>
      <c r="M345" s="720"/>
    </row>
    <row r="346" spans="1:14" hidden="1">
      <c r="B346" s="31"/>
      <c r="C346" s="310"/>
      <c r="D346" s="31"/>
      <c r="E346" s="732" t="s">
        <v>164</v>
      </c>
      <c r="F346" s="732"/>
      <c r="G346" s="732"/>
      <c r="H346" s="732"/>
      <c r="I346" s="732"/>
      <c r="J346" s="732"/>
      <c r="K346" s="732"/>
      <c r="L346" s="733">
        <f>L343-L344-L345</f>
        <v>74004203.939999998</v>
      </c>
      <c r="M346" s="734"/>
    </row>
    <row r="347" spans="1:14" s="288" customFormat="1" hidden="1">
      <c r="A347" s="285"/>
      <c r="B347" s="286">
        <v>450510200</v>
      </c>
      <c r="C347" s="311" t="s">
        <v>181</v>
      </c>
      <c r="D347" s="287"/>
      <c r="E347" s="729" t="s">
        <v>211</v>
      </c>
      <c r="F347" s="729"/>
      <c r="G347" s="729"/>
      <c r="H347" s="729"/>
      <c r="I347" s="729"/>
      <c r="J347" s="729"/>
      <c r="K347" s="729"/>
      <c r="L347" s="735">
        <v>18038900</v>
      </c>
      <c r="M347" s="735"/>
      <c r="N347" s="23"/>
    </row>
    <row r="348" spans="1:14" s="288" customFormat="1" hidden="1">
      <c r="A348" s="285"/>
      <c r="B348" s="286"/>
      <c r="C348" s="311"/>
      <c r="D348" s="287"/>
      <c r="E348" s="732" t="s">
        <v>212</v>
      </c>
      <c r="F348" s="732"/>
      <c r="G348" s="732"/>
      <c r="H348" s="732"/>
      <c r="I348" s="732"/>
      <c r="J348" s="732"/>
      <c r="K348" s="732"/>
      <c r="L348" s="736">
        <f>L346-L347</f>
        <v>55965303.939999998</v>
      </c>
      <c r="M348" s="737"/>
      <c r="N348" s="23"/>
    </row>
    <row r="349" spans="1:14" s="288" customFormat="1" hidden="1">
      <c r="A349" s="285"/>
      <c r="B349" s="289">
        <v>259768300</v>
      </c>
      <c r="C349" s="312" t="s">
        <v>178</v>
      </c>
      <c r="D349" s="290" t="s">
        <v>199</v>
      </c>
      <c r="E349" s="649"/>
      <c r="F349" s="650"/>
      <c r="G349" s="649"/>
      <c r="H349" s="651"/>
      <c r="I349" s="651"/>
      <c r="J349" s="652"/>
      <c r="K349" s="653"/>
      <c r="L349" s="287"/>
      <c r="M349" s="287"/>
      <c r="N349" s="23"/>
    </row>
    <row r="350" spans="1:14" s="288" customFormat="1" hidden="1">
      <c r="A350" s="285"/>
      <c r="B350" s="289">
        <v>190741900</v>
      </c>
      <c r="C350" s="312" t="s">
        <v>179</v>
      </c>
      <c r="D350" s="291" t="e">
        <f>D371</f>
        <v>#REF!</v>
      </c>
      <c r="E350" s="654"/>
      <c r="F350" s="650"/>
      <c r="G350" s="655"/>
      <c r="H350" s="651"/>
      <c r="I350" s="651"/>
      <c r="J350" s="652"/>
      <c r="K350" s="653"/>
      <c r="L350" s="287"/>
      <c r="M350" s="287"/>
      <c r="N350" s="23"/>
    </row>
    <row r="351" spans="1:14" s="288" customFormat="1" ht="45" hidden="1">
      <c r="A351" s="285"/>
      <c r="B351" s="292"/>
      <c r="C351" s="313" t="s">
        <v>188</v>
      </c>
      <c r="D351" s="293">
        <v>56794950</v>
      </c>
      <c r="E351" s="654"/>
      <c r="F351" s="649"/>
      <c r="G351" s="655"/>
      <c r="H351" s="651"/>
      <c r="I351" s="651"/>
      <c r="J351" s="652"/>
      <c r="K351" s="653"/>
      <c r="L351" s="287"/>
      <c r="M351" s="287"/>
      <c r="N351" s="23"/>
    </row>
    <row r="352" spans="1:14" s="288" customFormat="1" hidden="1">
      <c r="A352" s="285"/>
      <c r="B352" s="292"/>
      <c r="C352" s="314" t="s">
        <v>180</v>
      </c>
      <c r="D352" s="293" t="e">
        <f>D350+B350+D351</f>
        <v>#REF!</v>
      </c>
      <c r="E352" s="654"/>
      <c r="F352" s="649"/>
      <c r="G352" s="655"/>
      <c r="H352" s="651"/>
      <c r="I352" s="651"/>
      <c r="J352" s="652"/>
      <c r="K352" s="653"/>
      <c r="L352" s="287"/>
      <c r="M352" s="287"/>
      <c r="N352" s="23"/>
    </row>
    <row r="353" spans="1:14" s="288" customFormat="1" hidden="1">
      <c r="A353" s="285"/>
      <c r="B353" s="292"/>
      <c r="C353" s="315" t="s">
        <v>198</v>
      </c>
      <c r="D353" s="293" t="e">
        <f>B347-D352</f>
        <v>#REF!</v>
      </c>
      <c r="E353" s="654"/>
      <c r="F353" s="650"/>
      <c r="G353" s="655"/>
      <c r="H353" s="651"/>
      <c r="I353" s="651"/>
      <c r="J353" s="652"/>
      <c r="K353" s="653"/>
      <c r="L353" s="287"/>
      <c r="M353" s="287"/>
      <c r="N353" s="23"/>
    </row>
    <row r="354" spans="1:14" s="288" customFormat="1" hidden="1">
      <c r="A354" s="285"/>
      <c r="B354" s="294" t="s">
        <v>162</v>
      </c>
      <c r="C354" s="316" t="s">
        <v>205</v>
      </c>
      <c r="D354" s="295">
        <f>'ติดตาม งบปี61 จังหวัด (ผ.อ) '!D168</f>
        <v>14700000</v>
      </c>
      <c r="E354" s="654"/>
      <c r="F354" s="650"/>
      <c r="G354" s="655"/>
      <c r="H354" s="651"/>
      <c r="I354" s="651"/>
      <c r="J354" s="652"/>
      <c r="K354" s="653"/>
      <c r="L354" s="287"/>
      <c r="M354" s="287"/>
      <c r="N354" s="23"/>
    </row>
    <row r="355" spans="1:14" s="288" customFormat="1" hidden="1">
      <c r="A355" s="285"/>
      <c r="B355" s="294" t="s">
        <v>204</v>
      </c>
      <c r="C355" s="316" t="s">
        <v>248</v>
      </c>
      <c r="D355" s="295">
        <v>31665250</v>
      </c>
      <c r="E355" s="654"/>
      <c r="F355" s="650"/>
      <c r="G355" s="655"/>
      <c r="H355" s="651"/>
      <c r="I355" s="651"/>
      <c r="J355" s="652"/>
      <c r="K355" s="653"/>
      <c r="L355" s="287"/>
      <c r="M355" s="287"/>
      <c r="N355" s="23"/>
    </row>
    <row r="356" spans="1:14" s="288" customFormat="1" hidden="1">
      <c r="A356" s="285"/>
      <c r="B356" s="296" t="s">
        <v>203</v>
      </c>
      <c r="C356" s="316" t="s">
        <v>245</v>
      </c>
      <c r="D356" s="295" t="e">
        <f>D12+D34+D30+D259+D115+D117+D119+#REF!+D172+D194+#REF!+D175+D308+D296+D328+D317+D320+#REF!</f>
        <v>#REF!</v>
      </c>
      <c r="E356" s="738"/>
      <c r="F356" s="738"/>
      <c r="G356" s="738"/>
      <c r="H356" s="651"/>
      <c r="I356" s="651"/>
      <c r="J356" s="652"/>
      <c r="K356" s="653"/>
      <c r="L356" s="287"/>
      <c r="M356" s="287"/>
      <c r="N356" s="23"/>
    </row>
    <row r="357" spans="1:14" hidden="1">
      <c r="B357" s="297" t="s">
        <v>206</v>
      </c>
      <c r="C357" s="317" t="s">
        <v>242</v>
      </c>
      <c r="D357" s="298">
        <f>172921900+3120000</f>
        <v>176041900</v>
      </c>
      <c r="E357" s="656"/>
      <c r="F357" s="657"/>
      <c r="G357" s="658"/>
      <c r="H357" s="659"/>
      <c r="I357" s="659"/>
      <c r="J357" s="660"/>
      <c r="K357" s="661"/>
    </row>
    <row r="358" spans="1:14" hidden="1">
      <c r="B358" s="297" t="s">
        <v>207</v>
      </c>
      <c r="C358" s="317" t="s">
        <v>243</v>
      </c>
      <c r="D358" s="299" t="e">
        <f>D7+D10+D14+D40+D55+D16+D18+D58+D236+D242+D230+D60+D28+D67+D69+D74+D79+D250+D253+D256+#REF!+#REF!+D262+D265+D268+D271+D274+D290+D293+#REF!+D259+D108+D81+D84+D111+D113+D89+D104+D51+#REF!+D91+#REF!+D97+D93+D94+D102+D32+D305+D243+D311+D314+D281+D284+D336</f>
        <v>#REF!</v>
      </c>
      <c r="E358" s="662"/>
      <c r="F358" s="657"/>
      <c r="G358" s="658"/>
      <c r="H358" s="659"/>
      <c r="I358" s="659"/>
      <c r="J358" s="660"/>
      <c r="K358" s="661"/>
    </row>
    <row r="359" spans="1:14" hidden="1">
      <c r="B359" s="300" t="s">
        <v>202</v>
      </c>
      <c r="C359" s="318" t="s">
        <v>244</v>
      </c>
      <c r="D359" s="301" t="e">
        <f>D357+D358</f>
        <v>#REF!</v>
      </c>
      <c r="E359" s="662"/>
      <c r="F359" s="657"/>
      <c r="G359" s="658"/>
      <c r="H359" s="659"/>
      <c r="I359" s="659"/>
      <c r="J359" s="660"/>
      <c r="K359" s="661"/>
    </row>
    <row r="360" spans="1:14" hidden="1">
      <c r="B360" s="302" t="s">
        <v>246</v>
      </c>
      <c r="C360" s="319" t="s">
        <v>247</v>
      </c>
      <c r="D360" s="303" t="e">
        <f>D354+D356+D355</f>
        <v>#REF!</v>
      </c>
      <c r="E360" s="662"/>
      <c r="F360" s="657"/>
      <c r="G360" s="658"/>
      <c r="H360" s="659"/>
      <c r="I360" s="659"/>
      <c r="J360" s="660"/>
      <c r="K360" s="661"/>
    </row>
    <row r="361" spans="1:14" hidden="1">
      <c r="B361" s="302"/>
      <c r="C361" s="320"/>
      <c r="D361" s="303" t="e">
        <f>SUM(D359:D360)</f>
        <v>#REF!</v>
      </c>
      <c r="E361" s="662"/>
      <c r="F361" s="657"/>
      <c r="G361" s="658"/>
      <c r="H361" s="659"/>
      <c r="I361" s="659"/>
      <c r="J361" s="660"/>
      <c r="K361" s="661"/>
    </row>
    <row r="362" spans="1:14" hidden="1">
      <c r="B362" s="304"/>
      <c r="C362" s="321"/>
      <c r="D362" s="305" t="e">
        <f>B347-D361</f>
        <v>#REF!</v>
      </c>
      <c r="E362" s="662"/>
      <c r="F362" s="657"/>
      <c r="G362" s="658"/>
      <c r="H362" s="659"/>
      <c r="I362" s="659"/>
      <c r="J362" s="660"/>
      <c r="K362" s="661"/>
    </row>
    <row r="363" spans="1:14" hidden="1">
      <c r="E363" s="662"/>
      <c r="F363" s="657"/>
      <c r="G363" s="658"/>
      <c r="H363" s="659"/>
      <c r="I363" s="659"/>
      <c r="J363" s="660"/>
      <c r="K363" s="661"/>
    </row>
    <row r="364" spans="1:14" hidden="1">
      <c r="E364" s="662"/>
      <c r="F364" s="657"/>
      <c r="G364" s="658"/>
      <c r="H364" s="659"/>
      <c r="I364" s="659"/>
      <c r="J364" s="660"/>
      <c r="K364" s="661"/>
    </row>
    <row r="365" spans="1:14" hidden="1">
      <c r="E365" s="662"/>
      <c r="F365" s="657"/>
      <c r="G365" s="658"/>
      <c r="H365" s="659"/>
      <c r="I365" s="659"/>
      <c r="J365" s="660"/>
      <c r="K365" s="661"/>
    </row>
    <row r="366" spans="1:14" hidden="1">
      <c r="E366" s="662"/>
      <c r="F366" s="657"/>
      <c r="G366" s="658"/>
      <c r="H366" s="659"/>
      <c r="I366" s="659"/>
      <c r="J366" s="660"/>
      <c r="K366" s="661"/>
    </row>
    <row r="367" spans="1:14" s="45" customFormat="1">
      <c r="A367" s="24"/>
      <c r="C367" s="309"/>
      <c r="E367" s="739" t="s">
        <v>603</v>
      </c>
      <c r="F367" s="740"/>
      <c r="G367" s="740"/>
      <c r="H367" s="740"/>
      <c r="I367" s="740"/>
      <c r="J367" s="740"/>
      <c r="K367" s="741"/>
      <c r="L367" s="742">
        <v>8370340</v>
      </c>
      <c r="M367" s="742"/>
      <c r="N367" s="7"/>
    </row>
    <row r="368" spans="1:14" hidden="1">
      <c r="E368" s="727" t="s">
        <v>523</v>
      </c>
      <c r="F368" s="727"/>
      <c r="G368" s="727"/>
      <c r="H368" s="727"/>
      <c r="I368" s="727"/>
      <c r="J368" s="727"/>
      <c r="K368" s="727"/>
      <c r="L368" s="719">
        <f>L340-L341-L367</f>
        <v>16753613.939999998</v>
      </c>
      <c r="M368" s="728"/>
    </row>
    <row r="369" spans="4:13">
      <c r="E369" s="716" t="s">
        <v>602</v>
      </c>
      <c r="F369" s="717"/>
      <c r="G369" s="717"/>
      <c r="H369" s="717"/>
      <c r="I369" s="717"/>
      <c r="J369" s="717"/>
      <c r="K369" s="718"/>
      <c r="L369" s="719">
        <v>9800000</v>
      </c>
      <c r="M369" s="720"/>
    </row>
    <row r="370" spans="4:13">
      <c r="D370" s="31"/>
      <c r="E370" s="723" t="s">
        <v>641</v>
      </c>
      <c r="F370" s="723"/>
      <c r="G370" s="723"/>
      <c r="H370" s="723"/>
      <c r="I370" s="723"/>
      <c r="J370" s="723"/>
      <c r="K370" s="723"/>
      <c r="L370" s="721">
        <f>L340-L341-L367-L369+L339</f>
        <v>22940063</v>
      </c>
      <c r="M370" s="722"/>
    </row>
    <row r="371" spans="4:13">
      <c r="D371" s="703" t="e">
        <f>D5+D10+D12+D14+D16+D18+D19+D28+D30+D32+D34+D36+D40+D51+D53+D55+D58+D60+D62+D67+D69+D70+D74+D79+D81+D83+D89+D91+D93+D94+D97+D102+D104+D106+D108+D111+D113+D115+D117+D119+#REF!+D124+D128+D129+D145+D162+D165+D168+D172+D175+D178+D188+D194+D195+D205+D209+D223+D230+D235+D242+D243+D250+D253+D256+D259+D262+D265+D268+D271+D274+D276+D281+D284+D290+D293+D296+D305+D308+D311+D314+D317+D320+D325+D328+D336+D185+D182+D287+D233+D299+D301+D303+D331+D38+D65+D121+D126+D191+D228+D238+D240+D323+D334</f>
        <v>#REF!</v>
      </c>
      <c r="L371" s="642"/>
    </row>
    <row r="372" spans="4:13">
      <c r="L372" s="642"/>
    </row>
    <row r="375" spans="4:13">
      <c r="L375" s="704"/>
    </row>
  </sheetData>
  <mergeCells count="44">
    <mergeCell ref="L338:M338"/>
    <mergeCell ref="E340:K340"/>
    <mergeCell ref="L340:M340"/>
    <mergeCell ref="A337:C337"/>
    <mergeCell ref="E338:K338"/>
    <mergeCell ref="E339:K339"/>
    <mergeCell ref="L339:M339"/>
    <mergeCell ref="A2:N2"/>
    <mergeCell ref="A3:A4"/>
    <mergeCell ref="B3:B4"/>
    <mergeCell ref="C3:C4"/>
    <mergeCell ref="D3:D4"/>
    <mergeCell ref="E3:E4"/>
    <mergeCell ref="F3:G3"/>
    <mergeCell ref="H3:H4"/>
    <mergeCell ref="I3:K3"/>
    <mergeCell ref="L3:L4"/>
    <mergeCell ref="M3:M4"/>
    <mergeCell ref="N3:N4"/>
    <mergeCell ref="E348:K348"/>
    <mergeCell ref="L348:M348"/>
    <mergeCell ref="E356:G356"/>
    <mergeCell ref="E367:K367"/>
    <mergeCell ref="E341:K341"/>
    <mergeCell ref="L341:M341"/>
    <mergeCell ref="E342:K342"/>
    <mergeCell ref="L342:M342"/>
    <mergeCell ref="L367:M367"/>
    <mergeCell ref="E369:K369"/>
    <mergeCell ref="L369:M369"/>
    <mergeCell ref="L370:M370"/>
    <mergeCell ref="E370:K370"/>
    <mergeCell ref="E343:K343"/>
    <mergeCell ref="L343:M343"/>
    <mergeCell ref="E368:K368"/>
    <mergeCell ref="L368:M368"/>
    <mergeCell ref="E344:K344"/>
    <mergeCell ref="L344:M344"/>
    <mergeCell ref="E345:K345"/>
    <mergeCell ref="L345:M345"/>
    <mergeCell ref="E346:K346"/>
    <mergeCell ref="L346:M346"/>
    <mergeCell ref="E347:K347"/>
    <mergeCell ref="L347:M347"/>
  </mergeCells>
  <printOptions horizontalCentered="1"/>
  <pageMargins left="0.11811023622047245" right="0.11811023622047245" top="0.27559055118110237" bottom="0.11811023622047245" header="0.11811023622047245" footer="0.11811023622047245"/>
  <pageSetup paperSize="9" scale="44" fitToHeight="0" orientation="landscape" r:id="rId1"/>
  <headerFooter>
    <oddFooter>&amp;C&amp;"AngsanaUPC,ธรรมดา"&amp;18 &amp;P</oddFooter>
  </headerFooter>
  <rowBreaks count="10" manualBreakCount="10">
    <brk id="58" max="13" man="1"/>
    <brk id="79" max="13" man="1"/>
    <brk id="106" max="13" man="1"/>
    <brk id="131" max="13" man="1"/>
    <brk id="173" max="13" man="1"/>
    <brk id="183" max="13" man="1"/>
    <brk id="230" max="13" man="1"/>
    <brk id="259" max="13" man="1"/>
    <brk id="294" max="13" man="1"/>
    <brk id="30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45"/>
  <sheetViews>
    <sheetView view="pageBreakPreview" zoomScale="70" zoomScaleNormal="99" zoomScaleSheetLayoutView="70" workbookViewId="0">
      <pane ySplit="4" topLeftCell="A17" activePane="bottomLeft" state="frozen"/>
      <selection pane="bottomLeft" activeCell="AK10" sqref="AK10"/>
    </sheetView>
  </sheetViews>
  <sheetFormatPr defaultColWidth="9" defaultRowHeight="23.25" outlineLevelCol="1"/>
  <cols>
    <col min="1" max="1" width="7.5703125" style="386" bestFit="1" customWidth="1"/>
    <col min="2" max="2" width="71" style="424" customWidth="1"/>
    <col min="3" max="3" width="19.7109375" style="394" customWidth="1"/>
    <col min="4" max="5" width="17.28515625" style="468" hidden="1" customWidth="1" outlineLevel="1"/>
    <col min="6" max="6" width="19.140625" style="468" bestFit="1" customWidth="1" collapsed="1"/>
    <col min="7" max="7" width="17.42578125" style="601" customWidth="1"/>
    <col min="8" max="8" width="17.5703125" style="601" bestFit="1" customWidth="1"/>
    <col min="9" max="9" width="21.42578125" style="468" bestFit="1" customWidth="1"/>
    <col min="10" max="10" width="0.140625" style="386" customWidth="1"/>
    <col min="11" max="26" width="17.42578125" style="387" hidden="1" customWidth="1"/>
    <col min="27" max="27" width="17.42578125" style="675" hidden="1" customWidth="1"/>
    <col min="28" max="28" width="17.42578125" style="387" hidden="1" customWidth="1"/>
    <col min="29" max="29" width="17.42578125" style="675" hidden="1" customWidth="1"/>
    <col min="30" max="30" width="17.42578125" style="387" hidden="1" customWidth="1"/>
    <col min="31" max="33" width="17.42578125" style="675" hidden="1" customWidth="1"/>
    <col min="34" max="34" width="17.42578125" style="387" hidden="1" customWidth="1"/>
    <col min="35" max="35" width="9" style="387"/>
    <col min="36" max="16384" width="9" style="386"/>
  </cols>
  <sheetData>
    <row r="1" spans="1:35" ht="26.25">
      <c r="A1" s="763" t="s">
        <v>540</v>
      </c>
      <c r="B1" s="763"/>
      <c r="C1" s="763"/>
      <c r="D1" s="763"/>
      <c r="E1" s="763"/>
      <c r="F1" s="763"/>
      <c r="G1" s="763"/>
      <c r="H1" s="763"/>
      <c r="I1" s="763"/>
    </row>
    <row r="2" spans="1:35" ht="27.75" customHeight="1">
      <c r="A2" s="764" t="s">
        <v>643</v>
      </c>
      <c r="B2" s="764"/>
      <c r="C2" s="764"/>
      <c r="D2" s="764"/>
      <c r="E2" s="764"/>
      <c r="F2" s="764"/>
      <c r="G2" s="764"/>
      <c r="H2" s="764"/>
      <c r="I2" s="764"/>
    </row>
    <row r="3" spans="1:35" s="388" customFormat="1" ht="21.75" customHeight="1">
      <c r="A3" s="769" t="s">
        <v>358</v>
      </c>
      <c r="B3" s="769" t="s">
        <v>359</v>
      </c>
      <c r="C3" s="769" t="s">
        <v>360</v>
      </c>
      <c r="D3" s="772" t="s">
        <v>2</v>
      </c>
      <c r="E3" s="772" t="s">
        <v>3</v>
      </c>
      <c r="F3" s="773" t="s">
        <v>374</v>
      </c>
      <c r="G3" s="770" t="s">
        <v>96</v>
      </c>
      <c r="H3" s="770" t="s">
        <v>99</v>
      </c>
      <c r="I3" s="768" t="s">
        <v>416</v>
      </c>
      <c r="K3" s="779">
        <v>22190</v>
      </c>
      <c r="L3" s="779"/>
      <c r="M3" s="779">
        <v>22221</v>
      </c>
      <c r="N3" s="779"/>
      <c r="O3" s="779">
        <v>22251</v>
      </c>
      <c r="P3" s="779"/>
      <c r="Q3" s="777">
        <v>22282</v>
      </c>
      <c r="R3" s="778"/>
      <c r="S3" s="777">
        <v>22313</v>
      </c>
      <c r="T3" s="778"/>
      <c r="U3" s="777">
        <v>22341</v>
      </c>
      <c r="V3" s="778"/>
      <c r="W3" s="777">
        <v>22372</v>
      </c>
      <c r="X3" s="778"/>
      <c r="Y3" s="777">
        <v>22402</v>
      </c>
      <c r="Z3" s="778"/>
      <c r="AA3" s="777">
        <v>22433</v>
      </c>
      <c r="AB3" s="778"/>
      <c r="AC3" s="777">
        <v>22463</v>
      </c>
      <c r="AD3" s="778"/>
      <c r="AE3" s="779">
        <v>22494</v>
      </c>
      <c r="AF3" s="779"/>
      <c r="AG3" s="777">
        <v>22525</v>
      </c>
      <c r="AH3" s="778"/>
      <c r="AI3" s="389"/>
    </row>
    <row r="4" spans="1:35" s="388" customFormat="1" ht="27" customHeight="1">
      <c r="A4" s="769"/>
      <c r="B4" s="769"/>
      <c r="C4" s="769"/>
      <c r="D4" s="772"/>
      <c r="E4" s="772"/>
      <c r="F4" s="774"/>
      <c r="G4" s="771"/>
      <c r="H4" s="771"/>
      <c r="I4" s="768"/>
      <c r="K4" s="509" t="s">
        <v>2</v>
      </c>
      <c r="L4" s="509" t="s">
        <v>3</v>
      </c>
      <c r="M4" s="509" t="s">
        <v>2</v>
      </c>
      <c r="N4" s="509" t="s">
        <v>3</v>
      </c>
      <c r="O4" s="509" t="s">
        <v>2</v>
      </c>
      <c r="P4" s="509" t="s">
        <v>3</v>
      </c>
      <c r="Q4" s="509" t="s">
        <v>2</v>
      </c>
      <c r="R4" s="509" t="s">
        <v>3</v>
      </c>
      <c r="S4" s="509" t="s">
        <v>2</v>
      </c>
      <c r="T4" s="509" t="s">
        <v>3</v>
      </c>
      <c r="U4" s="509" t="s">
        <v>2</v>
      </c>
      <c r="V4" s="509" t="s">
        <v>3</v>
      </c>
      <c r="W4" s="509" t="s">
        <v>2</v>
      </c>
      <c r="X4" s="509" t="s">
        <v>3</v>
      </c>
      <c r="Y4" s="509" t="s">
        <v>2</v>
      </c>
      <c r="Z4" s="509" t="s">
        <v>3</v>
      </c>
      <c r="AA4" s="676" t="s">
        <v>2</v>
      </c>
      <c r="AB4" s="509" t="s">
        <v>3</v>
      </c>
      <c r="AC4" s="676" t="s">
        <v>2</v>
      </c>
      <c r="AD4" s="509" t="s">
        <v>3</v>
      </c>
      <c r="AE4" s="676" t="s">
        <v>2</v>
      </c>
      <c r="AF4" s="676" t="s">
        <v>3</v>
      </c>
      <c r="AG4" s="676" t="s">
        <v>2</v>
      </c>
      <c r="AH4" s="509" t="s">
        <v>3</v>
      </c>
      <c r="AI4" s="389"/>
    </row>
    <row r="5" spans="1:35" s="388" customFormat="1" ht="30" customHeight="1">
      <c r="A5" s="765" t="s">
        <v>361</v>
      </c>
      <c r="B5" s="766"/>
      <c r="C5" s="766"/>
      <c r="D5" s="470"/>
      <c r="E5" s="470"/>
      <c r="F5" s="471"/>
      <c r="G5" s="495"/>
      <c r="H5" s="495"/>
      <c r="I5" s="458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677"/>
      <c r="AB5" s="510"/>
      <c r="AC5" s="677"/>
      <c r="AD5" s="510"/>
      <c r="AE5" s="677"/>
      <c r="AF5" s="677"/>
      <c r="AG5" s="677"/>
      <c r="AH5" s="510"/>
      <c r="AI5" s="389"/>
    </row>
    <row r="6" spans="1:35" s="388" customFormat="1" ht="30" customHeight="1">
      <c r="A6" s="765" t="s">
        <v>80</v>
      </c>
      <c r="B6" s="765"/>
      <c r="C6" s="390"/>
      <c r="D6" s="472"/>
      <c r="E6" s="472"/>
      <c r="F6" s="458"/>
      <c r="G6" s="495"/>
      <c r="H6" s="495"/>
      <c r="I6" s="458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677"/>
      <c r="AB6" s="510"/>
      <c r="AC6" s="677"/>
      <c r="AD6" s="510"/>
      <c r="AE6" s="677"/>
      <c r="AF6" s="677"/>
      <c r="AG6" s="677"/>
      <c r="AH6" s="510"/>
      <c r="AI6" s="389"/>
    </row>
    <row r="7" spans="1:35" s="394" customFormat="1" ht="26.25" customHeight="1">
      <c r="A7" s="391">
        <v>1</v>
      </c>
      <c r="B7" s="392" t="s">
        <v>5</v>
      </c>
      <c r="C7" s="393"/>
      <c r="D7" s="462">
        <f t="shared" ref="D7:I7" si="0">D9+D10</f>
        <v>1828000</v>
      </c>
      <c r="E7" s="462">
        <f t="shared" si="0"/>
        <v>6735000</v>
      </c>
      <c r="F7" s="462">
        <f t="shared" si="0"/>
        <v>8563000</v>
      </c>
      <c r="G7" s="495">
        <f>G9+G10</f>
        <v>1825107.21</v>
      </c>
      <c r="H7" s="495">
        <f>H9+H10</f>
        <v>6550000</v>
      </c>
      <c r="I7" s="458">
        <f t="shared" si="0"/>
        <v>2892.7900000000373</v>
      </c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518"/>
      <c r="AB7" s="399"/>
      <c r="AC7" s="518"/>
      <c r="AD7" s="399"/>
      <c r="AE7" s="518"/>
      <c r="AF7" s="518"/>
      <c r="AG7" s="518"/>
      <c r="AH7" s="399"/>
      <c r="AI7" s="395"/>
    </row>
    <row r="8" spans="1:35" ht="46.5">
      <c r="A8" s="396"/>
      <c r="B8" s="397" t="s">
        <v>4</v>
      </c>
      <c r="C8" s="398"/>
      <c r="D8" s="452"/>
      <c r="E8" s="452"/>
      <c r="F8" s="452"/>
      <c r="G8" s="519"/>
      <c r="H8" s="519"/>
      <c r="I8" s="42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519"/>
      <c r="AB8" s="396"/>
      <c r="AC8" s="519"/>
      <c r="AD8" s="396"/>
      <c r="AE8" s="519"/>
      <c r="AF8" s="519"/>
      <c r="AG8" s="519"/>
      <c r="AH8" s="396"/>
    </row>
    <row r="9" spans="1:35" s="411" customFormat="1">
      <c r="A9" s="415"/>
      <c r="B9" s="405" t="s">
        <v>362</v>
      </c>
      <c r="C9" s="406" t="s">
        <v>363</v>
      </c>
      <c r="D9" s="449">
        <v>195000</v>
      </c>
      <c r="E9" s="449">
        <v>6735000</v>
      </c>
      <c r="F9" s="449">
        <f>D9+E9</f>
        <v>6930000</v>
      </c>
      <c r="G9" s="497">
        <f>'ติดตาม งบปี61 จังหวัด (ผ.อ) '!I5</f>
        <v>195000</v>
      </c>
      <c r="H9" s="497">
        <f>F9-G9-185000</f>
        <v>6550000</v>
      </c>
      <c r="I9" s="455"/>
      <c r="K9" s="408"/>
      <c r="L9" s="643"/>
      <c r="M9" s="408"/>
      <c r="N9" s="643"/>
      <c r="O9" s="408"/>
      <c r="P9" s="408"/>
      <c r="Q9" s="408"/>
      <c r="R9" s="408"/>
      <c r="S9" s="408"/>
      <c r="T9" s="643"/>
      <c r="U9" s="520"/>
      <c r="V9" s="643"/>
      <c r="W9" s="520"/>
      <c r="X9" s="643"/>
      <c r="Y9" s="408"/>
      <c r="Z9" s="643"/>
      <c r="AA9" s="520"/>
      <c r="AB9" s="643"/>
      <c r="AC9" s="520"/>
      <c r="AD9" s="643"/>
      <c r="AE9" s="520"/>
      <c r="AF9" s="520"/>
      <c r="AG9" s="520">
        <v>195000</v>
      </c>
      <c r="AH9" s="643"/>
      <c r="AI9" s="412"/>
    </row>
    <row r="10" spans="1:35" s="403" customFormat="1" ht="46.5">
      <c r="A10" s="407"/>
      <c r="B10" s="405" t="s">
        <v>483</v>
      </c>
      <c r="C10" s="406" t="s">
        <v>363</v>
      </c>
      <c r="D10" s="449">
        <v>1633000</v>
      </c>
      <c r="E10" s="449"/>
      <c r="F10" s="449">
        <f>D10</f>
        <v>1633000</v>
      </c>
      <c r="G10" s="497">
        <f>'ติดตาม งบปี61 จังหวัด (ผ.อ) '!I12</f>
        <v>1630107.21</v>
      </c>
      <c r="H10" s="497">
        <f>F10-G10-I10</f>
        <v>0</v>
      </c>
      <c r="I10" s="455">
        <f>'ติดตาม งบปี61 จังหวัด (ผ.อ) '!L12</f>
        <v>2892.7900000000373</v>
      </c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96">
        <v>409253.6</v>
      </c>
      <c r="X10" s="402"/>
      <c r="Y10" s="402"/>
      <c r="Z10" s="402"/>
      <c r="AA10" s="496"/>
      <c r="AB10" s="402"/>
      <c r="AC10" s="496">
        <v>419953.61</v>
      </c>
      <c r="AD10" s="402"/>
      <c r="AE10" s="496">
        <f>225000+256900</f>
        <v>481900</v>
      </c>
      <c r="AF10" s="496"/>
      <c r="AG10" s="496">
        <f>319000</f>
        <v>319000</v>
      </c>
      <c r="AH10" s="402"/>
      <c r="AI10" s="404"/>
    </row>
    <row r="11" spans="1:35" s="394" customFormat="1">
      <c r="A11" s="391">
        <v>2</v>
      </c>
      <c r="B11" s="392" t="s">
        <v>7</v>
      </c>
      <c r="C11" s="401"/>
      <c r="D11" s="462">
        <f>D13+D14+D15+D16+D17+D18+D19+D20+D21+D22</f>
        <v>44640000</v>
      </c>
      <c r="E11" s="462"/>
      <c r="F11" s="462">
        <f>F13+F14+F15+F16+F17+F18+F19+F20+F21+F22</f>
        <v>44640000</v>
      </c>
      <c r="G11" s="462">
        <f>G13+G14+G15+G16+G17+G18+G19+G20+G21+G22</f>
        <v>32134181</v>
      </c>
      <c r="H11" s="462">
        <f>H13+H14+H15+H16+H17+H18+H19+H20+H21+H22</f>
        <v>5615350</v>
      </c>
      <c r="I11" s="462">
        <f t="shared" ref="I11" si="1">I13+I14+I15+I16+I17+I18+I19+I20+I21+I22</f>
        <v>448073</v>
      </c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518"/>
      <c r="AB11" s="399"/>
      <c r="AC11" s="518"/>
      <c r="AD11" s="399"/>
      <c r="AE11" s="518"/>
      <c r="AF11" s="518"/>
      <c r="AG11" s="518"/>
      <c r="AH11" s="399"/>
      <c r="AI11" s="395"/>
    </row>
    <row r="12" spans="1:35">
      <c r="A12" s="396"/>
      <c r="B12" s="767" t="s">
        <v>364</v>
      </c>
      <c r="C12" s="767"/>
      <c r="D12" s="453"/>
      <c r="E12" s="453"/>
      <c r="F12" s="453"/>
      <c r="G12" s="519"/>
      <c r="H12" s="519"/>
      <c r="I12" s="42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519"/>
      <c r="AB12" s="396"/>
      <c r="AC12" s="519"/>
      <c r="AD12" s="396"/>
      <c r="AE12" s="519"/>
      <c r="AF12" s="519"/>
      <c r="AG12" s="519"/>
      <c r="AH12" s="396"/>
    </row>
    <row r="13" spans="1:35" s="428" customFormat="1">
      <c r="A13" s="407"/>
      <c r="B13" s="405" t="s">
        <v>365</v>
      </c>
      <c r="C13" s="406" t="s">
        <v>363</v>
      </c>
      <c r="D13" s="449">
        <v>10000000</v>
      </c>
      <c r="E13" s="449"/>
      <c r="F13" s="449">
        <f>D13</f>
        <v>10000000</v>
      </c>
      <c r="G13" s="597">
        <v>9910524</v>
      </c>
      <c r="H13" s="597">
        <f>F13-G13-89476</f>
        <v>0</v>
      </c>
      <c r="I13" s="449"/>
      <c r="K13" s="407"/>
      <c r="L13" s="407"/>
      <c r="M13" s="407"/>
      <c r="N13" s="407"/>
      <c r="O13" s="518">
        <f>90700+69400</f>
        <v>160100</v>
      </c>
      <c r="P13" s="511"/>
      <c r="Q13" s="518">
        <f>110000+950000+127000+37000+99724+2195000+89900+50000</f>
        <v>3658624</v>
      </c>
      <c r="R13" s="511"/>
      <c r="S13" s="518">
        <f>4990000+199500+3000+97000+191600+197000+133700+20000+60000</f>
        <v>5891800</v>
      </c>
      <c r="T13" s="407"/>
      <c r="U13" s="407"/>
      <c r="V13" s="407"/>
      <c r="W13" s="497">
        <v>200000</v>
      </c>
      <c r="X13" s="407"/>
      <c r="Y13" s="407"/>
      <c r="Z13" s="407"/>
      <c r="AA13" s="497"/>
      <c r="AB13" s="407"/>
      <c r="AC13" s="497"/>
      <c r="AD13" s="407"/>
      <c r="AE13" s="497"/>
      <c r="AF13" s="497"/>
      <c r="AG13" s="497"/>
      <c r="AH13" s="407"/>
      <c r="AI13" s="429"/>
    </row>
    <row r="14" spans="1:35" s="403" customFormat="1">
      <c r="A14" s="407"/>
      <c r="B14" s="405" t="s">
        <v>366</v>
      </c>
      <c r="C14" s="406" t="s">
        <v>174</v>
      </c>
      <c r="D14" s="478">
        <v>3600000</v>
      </c>
      <c r="E14" s="449"/>
      <c r="F14" s="449">
        <f>D14</f>
        <v>3600000</v>
      </c>
      <c r="G14" s="523">
        <f>'ติดตาม งบปี61 จังหวัด (ผ.อ) '!H14</f>
        <v>3556680</v>
      </c>
      <c r="H14" s="523">
        <f>F14-G14-43320</f>
        <v>0</v>
      </c>
      <c r="I14" s="478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96">
        <v>3556680</v>
      </c>
      <c r="V14" s="402"/>
      <c r="W14" s="402"/>
      <c r="X14" s="402"/>
      <c r="Y14" s="402"/>
      <c r="Z14" s="402"/>
      <c r="AA14" s="496"/>
      <c r="AB14" s="402"/>
      <c r="AC14" s="496"/>
      <c r="AD14" s="402"/>
      <c r="AE14" s="496"/>
      <c r="AF14" s="496"/>
      <c r="AG14" s="496"/>
      <c r="AH14" s="402"/>
      <c r="AI14" s="404"/>
    </row>
    <row r="15" spans="1:35" s="403" customFormat="1" ht="46.5">
      <c r="A15" s="407"/>
      <c r="B15" s="405" t="s">
        <v>367</v>
      </c>
      <c r="C15" s="672" t="s">
        <v>373</v>
      </c>
      <c r="D15" s="449">
        <v>10000000</v>
      </c>
      <c r="E15" s="574"/>
      <c r="F15" s="449">
        <v>10000000</v>
      </c>
      <c r="G15" s="597">
        <f>'ติดตาม งบปี61 จังหวัด (ผ.อ) '!I40</f>
        <v>4018800</v>
      </c>
      <c r="H15" s="597">
        <f>F15-G15-5981200</f>
        <v>0</v>
      </c>
      <c r="I15" s="449"/>
      <c r="K15" s="402"/>
      <c r="L15" s="402"/>
      <c r="M15" s="402"/>
      <c r="N15" s="402"/>
      <c r="O15" s="402"/>
      <c r="P15" s="402"/>
      <c r="Q15" s="496">
        <f>1175000+300000</f>
        <v>1475000</v>
      </c>
      <c r="R15" s="402"/>
      <c r="S15" s="402"/>
      <c r="T15" s="402"/>
      <c r="U15" s="402"/>
      <c r="V15" s="402"/>
      <c r="W15" s="496"/>
      <c r="X15" s="402"/>
      <c r="Y15" s="402"/>
      <c r="Z15" s="402"/>
      <c r="AA15" s="496"/>
      <c r="AB15" s="402"/>
      <c r="AC15" s="496"/>
      <c r="AD15" s="402"/>
      <c r="AE15" s="496">
        <f>2153800+390000</f>
        <v>2543800</v>
      </c>
      <c r="AF15" s="496"/>
      <c r="AG15" s="496"/>
      <c r="AH15" s="402"/>
      <c r="AI15" s="404"/>
    </row>
    <row r="16" spans="1:35" s="403" customFormat="1" ht="46.5">
      <c r="A16" s="407"/>
      <c r="B16" s="405" t="s">
        <v>368</v>
      </c>
      <c r="C16" s="406" t="s">
        <v>13</v>
      </c>
      <c r="D16" s="449">
        <v>2500000</v>
      </c>
      <c r="E16" s="449"/>
      <c r="F16" s="449">
        <v>2500000</v>
      </c>
      <c r="G16" s="597">
        <f>'ติดตาม งบปี61 จังหวัด (ผ.อ) '!I55</f>
        <v>2281600</v>
      </c>
      <c r="H16" s="597">
        <f>F16-G16-218400</f>
        <v>0</v>
      </c>
      <c r="I16" s="449"/>
      <c r="K16" s="402"/>
      <c r="L16" s="402"/>
      <c r="M16" s="402"/>
      <c r="N16" s="402"/>
      <c r="O16" s="402"/>
      <c r="P16" s="402"/>
      <c r="Q16" s="402"/>
      <c r="R16" s="402"/>
      <c r="S16" s="496">
        <v>20000</v>
      </c>
      <c r="T16" s="402"/>
      <c r="U16" s="525">
        <v>2261600</v>
      </c>
      <c r="V16" s="402"/>
      <c r="W16" s="402"/>
      <c r="X16" s="402"/>
      <c r="Y16" s="402"/>
      <c r="Z16" s="402"/>
      <c r="AA16" s="496"/>
      <c r="AB16" s="402"/>
      <c r="AC16" s="496"/>
      <c r="AD16" s="402"/>
      <c r="AE16" s="496"/>
      <c r="AF16" s="496"/>
      <c r="AG16" s="496"/>
      <c r="AH16" s="402"/>
      <c r="AI16" s="404"/>
    </row>
    <row r="17" spans="1:35" s="403" customFormat="1">
      <c r="A17" s="407"/>
      <c r="B17" s="405" t="s">
        <v>369</v>
      </c>
      <c r="C17" s="406" t="s">
        <v>174</v>
      </c>
      <c r="D17" s="449">
        <v>6030000</v>
      </c>
      <c r="E17" s="602"/>
      <c r="F17" s="449">
        <v>6030000</v>
      </c>
      <c r="G17" s="597">
        <f>'ติดตาม งบปี61 จังหวัด (ผ.อ) '!I16</f>
        <v>3380000</v>
      </c>
      <c r="H17" s="597">
        <f t="shared" ref="H17:H20" si="2">F17-G17-I17</f>
        <v>2550000</v>
      </c>
      <c r="I17" s="449">
        <v>100000</v>
      </c>
      <c r="J17" s="595"/>
      <c r="K17" s="402"/>
      <c r="L17" s="402"/>
      <c r="M17" s="402"/>
      <c r="N17" s="402"/>
      <c r="O17" s="402"/>
      <c r="P17" s="402"/>
      <c r="Q17" s="402"/>
      <c r="R17" s="402"/>
      <c r="S17" s="496">
        <f>140000</f>
        <v>140000</v>
      </c>
      <c r="T17" s="402"/>
      <c r="U17" s="402"/>
      <c r="V17" s="402"/>
      <c r="W17" s="496">
        <v>140000</v>
      </c>
      <c r="X17" s="402"/>
      <c r="Y17" s="496">
        <v>1530000</v>
      </c>
      <c r="Z17" s="402"/>
      <c r="AA17" s="496"/>
      <c r="AB17" s="402"/>
      <c r="AC17" s="496"/>
      <c r="AD17" s="402"/>
      <c r="AE17" s="496"/>
      <c r="AF17" s="496"/>
      <c r="AG17" s="496">
        <v>1570000</v>
      </c>
      <c r="AH17" s="402"/>
      <c r="AI17" s="404"/>
    </row>
    <row r="18" spans="1:35" s="403" customFormat="1" ht="46.5">
      <c r="A18" s="407"/>
      <c r="B18" s="405" t="s">
        <v>370</v>
      </c>
      <c r="C18" s="1" t="s">
        <v>524</v>
      </c>
      <c r="D18" s="449">
        <v>4000000</v>
      </c>
      <c r="E18" s="473"/>
      <c r="F18" s="449">
        <v>4000000</v>
      </c>
      <c r="G18" s="597">
        <f>'ติดตาม งบปี61 จังหวัด (ผ.อ) '!I36</f>
        <v>1950000</v>
      </c>
      <c r="H18" s="597">
        <f t="shared" si="2"/>
        <v>1990000</v>
      </c>
      <c r="I18" s="449">
        <v>60000</v>
      </c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96"/>
      <c r="AB18" s="402"/>
      <c r="AC18" s="496"/>
      <c r="AD18" s="402"/>
      <c r="AE18" s="496">
        <v>975000</v>
      </c>
      <c r="AF18" s="496"/>
      <c r="AG18" s="496">
        <v>975000</v>
      </c>
      <c r="AH18" s="402"/>
      <c r="AI18" s="404"/>
    </row>
    <row r="19" spans="1:35" s="403" customFormat="1" ht="46.5">
      <c r="A19" s="407"/>
      <c r="B19" s="405" t="s">
        <v>426</v>
      </c>
      <c r="C19" s="406" t="s">
        <v>174</v>
      </c>
      <c r="D19" s="449">
        <v>5000000</v>
      </c>
      <c r="E19" s="449"/>
      <c r="F19" s="449">
        <v>5000000</v>
      </c>
      <c r="G19" s="597">
        <f>'ติดตาม งบปี61 จังหวัด (ผ.อ) '!I18</f>
        <v>4900000</v>
      </c>
      <c r="H19" s="597">
        <f>F19-G19-100000</f>
        <v>0</v>
      </c>
      <c r="I19" s="449"/>
      <c r="K19" s="402"/>
      <c r="L19" s="402"/>
      <c r="M19" s="402"/>
      <c r="N19" s="402"/>
      <c r="O19" s="402"/>
      <c r="P19" s="402"/>
      <c r="Q19" s="402"/>
      <c r="R19" s="402"/>
      <c r="S19" s="496"/>
      <c r="T19" s="402"/>
      <c r="U19" s="402"/>
      <c r="V19" s="402"/>
      <c r="W19" s="402"/>
      <c r="X19" s="402"/>
      <c r="Y19" s="496">
        <v>1470000</v>
      </c>
      <c r="Z19" s="402"/>
      <c r="AA19" s="496"/>
      <c r="AB19" s="402"/>
      <c r="AC19" s="496"/>
      <c r="AD19" s="402"/>
      <c r="AE19" s="496"/>
      <c r="AF19" s="496"/>
      <c r="AG19" s="496">
        <f>1960000+1470000</f>
        <v>3430000</v>
      </c>
      <c r="AH19" s="402"/>
      <c r="AI19" s="404"/>
    </row>
    <row r="20" spans="1:35" s="403" customFormat="1" ht="46.5">
      <c r="A20" s="402"/>
      <c r="B20" s="405" t="s">
        <v>427</v>
      </c>
      <c r="C20" s="406" t="s">
        <v>13</v>
      </c>
      <c r="D20" s="449">
        <v>1660000</v>
      </c>
      <c r="E20" s="449"/>
      <c r="F20" s="449">
        <f>D20</f>
        <v>1660000</v>
      </c>
      <c r="G20" s="597">
        <f>'ติดตาม งบปี61 จังหวัด (ผ.อ) '!I58</f>
        <v>296577</v>
      </c>
      <c r="H20" s="597">
        <f t="shared" si="2"/>
        <v>1075350</v>
      </c>
      <c r="I20" s="449">
        <v>288073</v>
      </c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96">
        <v>3720</v>
      </c>
      <c r="V20" s="402"/>
      <c r="W20" s="402"/>
      <c r="X20" s="402"/>
      <c r="Y20" s="402"/>
      <c r="Z20" s="402"/>
      <c r="AA20" s="496">
        <f>7650+31600</f>
        <v>39250</v>
      </c>
      <c r="AB20" s="402"/>
      <c r="AC20" s="496">
        <f>2400</f>
        <v>2400</v>
      </c>
      <c r="AD20" s="402"/>
      <c r="AE20" s="496">
        <f>46000+2112</f>
        <v>48112</v>
      </c>
      <c r="AF20" s="496"/>
      <c r="AG20" s="496">
        <f>525+2400+115000+69000+5600+3100+7470</f>
        <v>203095</v>
      </c>
      <c r="AH20" s="402"/>
      <c r="AI20" s="404"/>
    </row>
    <row r="21" spans="1:35" s="403" customFormat="1" ht="46.5">
      <c r="A21" s="402"/>
      <c r="B21" s="405" t="s">
        <v>512</v>
      </c>
      <c r="C21" s="406" t="s">
        <v>19</v>
      </c>
      <c r="D21" s="449">
        <v>1500000</v>
      </c>
      <c r="E21" s="449"/>
      <c r="F21" s="449">
        <v>1500000</v>
      </c>
      <c r="G21" s="597">
        <f>'ติดตาม งบปี61 จังหวัด (ผ.อ) '!I233</f>
        <v>1490000</v>
      </c>
      <c r="H21" s="597">
        <f>F21-G21-10000</f>
        <v>0</v>
      </c>
      <c r="I21" s="449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96"/>
      <c r="AB21" s="402"/>
      <c r="AC21" s="496"/>
      <c r="AD21" s="402"/>
      <c r="AE21" s="496"/>
      <c r="AF21" s="496"/>
      <c r="AG21" s="496">
        <v>1490000</v>
      </c>
      <c r="AH21" s="402"/>
      <c r="AI21" s="404"/>
    </row>
    <row r="22" spans="1:35" s="403" customFormat="1" ht="46.5">
      <c r="A22" s="402"/>
      <c r="B22" s="405" t="s">
        <v>565</v>
      </c>
      <c r="C22" s="406" t="s">
        <v>566</v>
      </c>
      <c r="D22" s="449">
        <v>350000</v>
      </c>
      <c r="E22" s="449"/>
      <c r="F22" s="449">
        <f>D22</f>
        <v>350000</v>
      </c>
      <c r="G22" s="597">
        <v>350000</v>
      </c>
      <c r="H22" s="597">
        <f>F22-G22</f>
        <v>0</v>
      </c>
      <c r="I22" s="449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96"/>
      <c r="AB22" s="402"/>
      <c r="AC22" s="496"/>
      <c r="AD22" s="402"/>
      <c r="AE22" s="496"/>
      <c r="AF22" s="496"/>
      <c r="AG22" s="496">
        <v>350000</v>
      </c>
      <c r="AH22" s="402"/>
      <c r="AI22" s="404"/>
    </row>
    <row r="23" spans="1:35">
      <c r="A23" s="391">
        <v>3</v>
      </c>
      <c r="B23" s="392" t="s">
        <v>14</v>
      </c>
      <c r="C23" s="401"/>
      <c r="D23" s="462">
        <f>+D26</f>
        <v>2500000</v>
      </c>
      <c r="E23" s="462">
        <f>E25+E27</f>
        <v>6107100</v>
      </c>
      <c r="F23" s="462">
        <f>F25+F26+F27</f>
        <v>8607100</v>
      </c>
      <c r="G23" s="495">
        <f>G25+G26+G27</f>
        <v>3211000</v>
      </c>
      <c r="H23" s="495">
        <f>H25+H26+H27</f>
        <v>3774850</v>
      </c>
      <c r="I23" s="458">
        <f>I25+I26+I27</f>
        <v>13000</v>
      </c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519"/>
      <c r="AB23" s="396"/>
      <c r="AC23" s="519"/>
      <c r="AD23" s="396"/>
      <c r="AE23" s="519"/>
      <c r="AF23" s="519"/>
      <c r="AG23" s="519"/>
      <c r="AH23" s="396"/>
    </row>
    <row r="24" spans="1:35">
      <c r="A24" s="396"/>
      <c r="B24" s="397" t="s">
        <v>15</v>
      </c>
      <c r="C24" s="398"/>
      <c r="D24" s="452"/>
      <c r="E24" s="452"/>
      <c r="F24" s="452"/>
      <c r="G24" s="519"/>
      <c r="H24" s="519"/>
      <c r="I24" s="42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519"/>
      <c r="AB24" s="396"/>
      <c r="AC24" s="519"/>
      <c r="AD24" s="396"/>
      <c r="AE24" s="519"/>
      <c r="AF24" s="519"/>
      <c r="AG24" s="519"/>
      <c r="AH24" s="396"/>
    </row>
    <row r="25" spans="1:35" s="411" customFormat="1" ht="46.5">
      <c r="A25" s="415"/>
      <c r="B25" s="433" t="s">
        <v>371</v>
      </c>
      <c r="C25" s="410" t="s">
        <v>16</v>
      </c>
      <c r="D25" s="454"/>
      <c r="E25" s="455">
        <v>4975200</v>
      </c>
      <c r="F25" s="455">
        <v>4975200</v>
      </c>
      <c r="G25" s="497">
        <f>'ติดตาม งบปี61 จังหวัด (ผ.อ) '!I235</f>
        <v>0</v>
      </c>
      <c r="H25" s="497">
        <f>F25-G25-792450</f>
        <v>4182750</v>
      </c>
      <c r="I25" s="455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520"/>
      <c r="AB25" s="408"/>
      <c r="AC25" s="520"/>
      <c r="AD25" s="408"/>
      <c r="AE25" s="520"/>
      <c r="AF25" s="520"/>
      <c r="AG25" s="520"/>
      <c r="AH25" s="408"/>
      <c r="AI25" s="412"/>
    </row>
    <row r="26" spans="1:35" s="394" customFormat="1">
      <c r="A26" s="399"/>
      <c r="B26" s="413" t="s">
        <v>372</v>
      </c>
      <c r="C26" s="414" t="s">
        <v>18</v>
      </c>
      <c r="D26" s="427">
        <v>2500000</v>
      </c>
      <c r="E26" s="427"/>
      <c r="F26" s="427">
        <v>2500000</v>
      </c>
      <c r="G26" s="573">
        <f>'ติดตาม งบปี61 จังหวัด (ผ.อ) '!I242</f>
        <v>2487000</v>
      </c>
      <c r="H26" s="573">
        <f>F26-G26-I26</f>
        <v>0</v>
      </c>
      <c r="I26" s="427">
        <v>13000</v>
      </c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518"/>
      <c r="AB26" s="399"/>
      <c r="AC26" s="518"/>
      <c r="AD26" s="399"/>
      <c r="AE26" s="518"/>
      <c r="AF26" s="518"/>
      <c r="AG26" s="518">
        <v>2487000</v>
      </c>
      <c r="AH26" s="399"/>
      <c r="AI26" s="395"/>
    </row>
    <row r="27" spans="1:35" s="411" customFormat="1" ht="46.5">
      <c r="A27" s="415"/>
      <c r="B27" s="433" t="s">
        <v>525</v>
      </c>
      <c r="C27" s="2" t="s">
        <v>19</v>
      </c>
      <c r="D27" s="474"/>
      <c r="E27" s="454">
        <v>1131900</v>
      </c>
      <c r="F27" s="454">
        <v>1131900</v>
      </c>
      <c r="G27" s="497">
        <f>'ติดตาม งบปี61 จังหวัด (ผ.อ) '!I230</f>
        <v>724000</v>
      </c>
      <c r="H27" s="497">
        <f>G27-G27-407900</f>
        <v>-407900</v>
      </c>
      <c r="I27" s="455"/>
      <c r="K27" s="408"/>
      <c r="L27" s="408"/>
      <c r="M27" s="408"/>
      <c r="N27" s="408"/>
      <c r="O27" s="522"/>
      <c r="P27" s="522"/>
      <c r="Q27" s="522"/>
      <c r="R27" s="522"/>
      <c r="S27" s="522"/>
      <c r="T27" s="522"/>
      <c r="U27" s="522"/>
      <c r="V27" s="522"/>
      <c r="W27" s="522"/>
      <c r="X27" s="522"/>
      <c r="Y27" s="522"/>
      <c r="Z27" s="522"/>
      <c r="AA27" s="687"/>
      <c r="AB27" s="520">
        <v>724000</v>
      </c>
      <c r="AC27" s="687"/>
      <c r="AD27" s="522"/>
      <c r="AE27" s="687"/>
      <c r="AF27" s="687"/>
      <c r="AG27" s="687"/>
      <c r="AH27" s="522"/>
      <c r="AI27" s="412"/>
    </row>
    <row r="28" spans="1:35">
      <c r="A28" s="775" t="s">
        <v>595</v>
      </c>
      <c r="B28" s="775"/>
      <c r="C28" s="416"/>
      <c r="D28" s="475">
        <f>D7+D11+D23</f>
        <v>48968000</v>
      </c>
      <c r="E28" s="475">
        <f>E7+E11+E23</f>
        <v>12842100</v>
      </c>
      <c r="F28" s="498">
        <f>F7+F11+F23</f>
        <v>61810100</v>
      </c>
      <c r="G28" s="598">
        <f>G7+G11+G23</f>
        <v>37170288.210000001</v>
      </c>
      <c r="H28" s="598">
        <v>15476234.210000001</v>
      </c>
      <c r="I28" s="476">
        <f>I7+I11+I23</f>
        <v>463965.79000000004</v>
      </c>
      <c r="K28" s="521">
        <f>SUM(K5:K27)</f>
        <v>0</v>
      </c>
      <c r="L28" s="521">
        <f t="shared" ref="L28:AH28" si="3">SUM(L5:L27)</f>
        <v>0</v>
      </c>
      <c r="M28" s="521">
        <f t="shared" si="3"/>
        <v>0</v>
      </c>
      <c r="N28" s="521">
        <f t="shared" si="3"/>
        <v>0</v>
      </c>
      <c r="O28" s="521">
        <f t="shared" si="3"/>
        <v>160100</v>
      </c>
      <c r="P28" s="521">
        <f t="shared" si="3"/>
        <v>0</v>
      </c>
      <c r="Q28" s="521">
        <f t="shared" si="3"/>
        <v>5133624</v>
      </c>
      <c r="R28" s="521">
        <f t="shared" si="3"/>
        <v>0</v>
      </c>
      <c r="S28" s="521">
        <f t="shared" si="3"/>
        <v>6051800</v>
      </c>
      <c r="T28" s="521">
        <f t="shared" si="3"/>
        <v>0</v>
      </c>
      <c r="U28" s="521">
        <f t="shared" si="3"/>
        <v>5822000</v>
      </c>
      <c r="V28" s="521">
        <f t="shared" si="3"/>
        <v>0</v>
      </c>
      <c r="W28" s="521">
        <f t="shared" si="3"/>
        <v>749253.6</v>
      </c>
      <c r="X28" s="521">
        <f t="shared" si="3"/>
        <v>0</v>
      </c>
      <c r="Y28" s="521">
        <f t="shared" si="3"/>
        <v>3000000</v>
      </c>
      <c r="Z28" s="521">
        <f t="shared" si="3"/>
        <v>0</v>
      </c>
      <c r="AA28" s="521">
        <f t="shared" si="3"/>
        <v>39250</v>
      </c>
      <c r="AB28" s="521">
        <f t="shared" si="3"/>
        <v>724000</v>
      </c>
      <c r="AC28" s="521">
        <f t="shared" si="3"/>
        <v>422353.61</v>
      </c>
      <c r="AD28" s="521">
        <f t="shared" si="3"/>
        <v>0</v>
      </c>
      <c r="AE28" s="521">
        <f t="shared" si="3"/>
        <v>4048812</v>
      </c>
      <c r="AF28" s="521">
        <f t="shared" si="3"/>
        <v>0</v>
      </c>
      <c r="AG28" s="521">
        <f t="shared" si="3"/>
        <v>11019095</v>
      </c>
      <c r="AH28" s="521">
        <f t="shared" si="3"/>
        <v>0</v>
      </c>
    </row>
    <row r="29" spans="1:35" s="419" customFormat="1" ht="9" customHeight="1">
      <c r="A29" s="417"/>
      <c r="B29" s="417"/>
      <c r="C29" s="418"/>
      <c r="D29" s="466"/>
      <c r="E29" s="466"/>
      <c r="F29" s="466"/>
      <c r="G29" s="599"/>
      <c r="H29" s="599"/>
      <c r="I29" s="477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688"/>
      <c r="AB29" s="420"/>
      <c r="AC29" s="688"/>
      <c r="AD29" s="420"/>
      <c r="AE29" s="688"/>
      <c r="AF29" s="688"/>
      <c r="AG29" s="688"/>
      <c r="AH29" s="420"/>
      <c r="AI29" s="420"/>
    </row>
    <row r="30" spans="1:35" s="421" customFormat="1">
      <c r="B30" s="423"/>
      <c r="C30" s="418"/>
      <c r="D30" s="466"/>
      <c r="E30" s="776"/>
      <c r="F30" s="776"/>
      <c r="G30" s="640"/>
      <c r="H30" s="603"/>
      <c r="I30" s="467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689"/>
      <c r="AB30" s="422"/>
      <c r="AC30" s="689"/>
      <c r="AD30" s="422"/>
      <c r="AE30" s="689"/>
      <c r="AF30" s="689"/>
      <c r="AG30" s="689"/>
      <c r="AH30" s="422"/>
      <c r="AI30" s="422"/>
    </row>
    <row r="31" spans="1:35" s="421" customFormat="1">
      <c r="B31" s="712"/>
      <c r="C31" s="708" t="s">
        <v>644</v>
      </c>
      <c r="D31" s="708"/>
      <c r="E31" s="776">
        <f>G10+G13+G14+G15+G16+G19+G21+G22+G26+G27</f>
        <v>31348711.210000001</v>
      </c>
      <c r="F31" s="776"/>
      <c r="G31" s="640">
        <v>10</v>
      </c>
      <c r="H31" s="713"/>
      <c r="I31" s="49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689"/>
      <c r="AB31" s="422"/>
      <c r="AC31" s="689"/>
      <c r="AD31" s="422"/>
      <c r="AE31" s="689"/>
      <c r="AF31" s="689"/>
      <c r="AG31" s="689"/>
      <c r="AH31" s="422"/>
      <c r="AI31" s="422"/>
    </row>
    <row r="32" spans="1:35" s="421" customFormat="1">
      <c r="B32" s="712"/>
      <c r="C32" s="707" t="s">
        <v>647</v>
      </c>
      <c r="D32" s="708"/>
      <c r="E32" s="708"/>
      <c r="F32" s="714">
        <f>G9+G18+G17</f>
        <v>5525000</v>
      </c>
      <c r="G32" s="709">
        <v>3</v>
      </c>
      <c r="H32" s="710" t="s">
        <v>645</v>
      </c>
      <c r="I32" s="49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689"/>
      <c r="AB32" s="422"/>
      <c r="AC32" s="689"/>
      <c r="AD32" s="422"/>
      <c r="AE32" s="689"/>
      <c r="AF32" s="689"/>
      <c r="AG32" s="689"/>
      <c r="AH32" s="422"/>
      <c r="AI32" s="422"/>
    </row>
    <row r="33" spans="2:35" s="421" customFormat="1">
      <c r="B33" s="712"/>
      <c r="C33" s="711" t="s">
        <v>646</v>
      </c>
      <c r="D33" s="708"/>
      <c r="E33" s="708"/>
      <c r="F33" s="715"/>
      <c r="G33" s="709"/>
      <c r="H33" s="709"/>
      <c r="I33" s="49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689"/>
      <c r="AB33" s="422"/>
      <c r="AC33" s="689"/>
      <c r="AD33" s="422"/>
      <c r="AE33" s="689"/>
      <c r="AF33" s="689"/>
      <c r="AG33" s="689"/>
      <c r="AH33" s="422"/>
      <c r="AI33" s="422"/>
    </row>
    <row r="34" spans="2:35" s="421" customFormat="1">
      <c r="B34" s="712"/>
      <c r="C34" s="711"/>
      <c r="D34" s="708"/>
      <c r="E34" s="708"/>
      <c r="F34" s="708"/>
      <c r="G34" s="709"/>
      <c r="H34" s="709"/>
      <c r="I34" s="49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689"/>
      <c r="AB34" s="422"/>
      <c r="AC34" s="689"/>
      <c r="AD34" s="422"/>
      <c r="AE34" s="689"/>
      <c r="AF34" s="689"/>
      <c r="AG34" s="689"/>
      <c r="AH34" s="422"/>
      <c r="AI34" s="422"/>
    </row>
    <row r="35" spans="2:35" s="421" customFormat="1">
      <c r="B35" s="712"/>
      <c r="C35" s="711"/>
      <c r="D35" s="708"/>
      <c r="E35" s="708"/>
      <c r="F35" s="708"/>
      <c r="G35" s="709"/>
      <c r="H35" s="709"/>
      <c r="I35" s="49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689"/>
      <c r="AB35" s="422"/>
      <c r="AC35" s="689"/>
      <c r="AD35" s="422"/>
      <c r="AE35" s="689"/>
      <c r="AF35" s="689"/>
      <c r="AG35" s="689"/>
      <c r="AH35" s="422"/>
      <c r="AI35" s="422"/>
    </row>
    <row r="36" spans="2:35" s="421" customFormat="1">
      <c r="B36" s="423"/>
      <c r="C36" s="418"/>
      <c r="D36" s="466"/>
      <c r="E36" s="466"/>
      <c r="F36" s="466"/>
      <c r="G36" s="600"/>
      <c r="H36" s="600"/>
      <c r="I36" s="467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689"/>
      <c r="AB36" s="422"/>
      <c r="AC36" s="689"/>
      <c r="AD36" s="422"/>
      <c r="AE36" s="689"/>
      <c r="AF36" s="689"/>
      <c r="AG36" s="689"/>
      <c r="AH36" s="422"/>
      <c r="AI36" s="422"/>
    </row>
    <row r="37" spans="2:35" s="421" customFormat="1">
      <c r="B37" s="423"/>
      <c r="C37" s="418"/>
      <c r="D37" s="466"/>
      <c r="E37" s="466"/>
      <c r="F37" s="466"/>
      <c r="G37" s="600"/>
      <c r="H37" s="600"/>
      <c r="I37" s="467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689"/>
      <c r="AB37" s="422"/>
      <c r="AC37" s="689"/>
      <c r="AD37" s="422"/>
      <c r="AE37" s="689"/>
      <c r="AF37" s="689"/>
      <c r="AG37" s="689"/>
      <c r="AH37" s="422"/>
      <c r="AI37" s="422"/>
    </row>
    <row r="38" spans="2:35" s="421" customFormat="1">
      <c r="B38" s="423"/>
      <c r="C38" s="418"/>
      <c r="D38" s="466"/>
      <c r="E38" s="466"/>
      <c r="F38" s="466"/>
      <c r="G38" s="600"/>
      <c r="H38" s="600"/>
      <c r="I38" s="467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689"/>
      <c r="AB38" s="422"/>
      <c r="AC38" s="689"/>
      <c r="AD38" s="422"/>
      <c r="AE38" s="689"/>
      <c r="AF38" s="689"/>
      <c r="AG38" s="689"/>
      <c r="AH38" s="422"/>
      <c r="AI38" s="422"/>
    </row>
    <row r="39" spans="2:35" s="421" customFormat="1">
      <c r="B39" s="423"/>
      <c r="C39" s="418"/>
      <c r="D39" s="466"/>
      <c r="E39" s="466"/>
      <c r="F39" s="466"/>
      <c r="G39" s="600"/>
      <c r="H39" s="600"/>
      <c r="I39" s="467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689"/>
      <c r="AB39" s="422"/>
      <c r="AC39" s="689"/>
      <c r="AD39" s="422"/>
      <c r="AE39" s="689"/>
      <c r="AF39" s="689"/>
      <c r="AG39" s="689"/>
      <c r="AH39" s="422"/>
      <c r="AI39" s="422"/>
    </row>
    <row r="40" spans="2:35" s="421" customFormat="1">
      <c r="B40" s="423"/>
      <c r="C40" s="418"/>
      <c r="D40" s="466"/>
      <c r="E40" s="466"/>
      <c r="F40" s="466"/>
      <c r="G40" s="600"/>
      <c r="H40" s="600"/>
      <c r="I40" s="467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689"/>
      <c r="AB40" s="422"/>
      <c r="AC40" s="689"/>
      <c r="AD40" s="422"/>
      <c r="AE40" s="689"/>
      <c r="AF40" s="689"/>
      <c r="AG40" s="689"/>
      <c r="AH40" s="422"/>
      <c r="AI40" s="422"/>
    </row>
    <row r="41" spans="2:35" s="421" customFormat="1">
      <c r="B41" s="423"/>
      <c r="C41" s="418"/>
      <c r="D41" s="466"/>
      <c r="E41" s="466"/>
      <c r="F41" s="466"/>
      <c r="G41" s="600"/>
      <c r="H41" s="600"/>
      <c r="I41" s="467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22"/>
      <c r="Y41" s="422"/>
      <c r="Z41" s="422"/>
      <c r="AA41" s="689"/>
      <c r="AB41" s="422"/>
      <c r="AC41" s="689"/>
      <c r="AD41" s="422"/>
      <c r="AE41" s="689"/>
      <c r="AF41" s="689"/>
      <c r="AG41" s="689"/>
      <c r="AH41" s="422"/>
      <c r="AI41" s="422"/>
    </row>
    <row r="42" spans="2:35" s="421" customFormat="1">
      <c r="B42" s="423"/>
      <c r="C42" s="418"/>
      <c r="D42" s="466"/>
      <c r="E42" s="466"/>
      <c r="F42" s="466"/>
      <c r="G42" s="600"/>
      <c r="H42" s="600"/>
      <c r="I42" s="467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689"/>
      <c r="AB42" s="422"/>
      <c r="AC42" s="689"/>
      <c r="AD42" s="422"/>
      <c r="AE42" s="689"/>
      <c r="AF42" s="689"/>
      <c r="AG42" s="689"/>
      <c r="AH42" s="422"/>
      <c r="AI42" s="422"/>
    </row>
    <row r="43" spans="2:35" s="421" customFormat="1">
      <c r="B43" s="423"/>
      <c r="C43" s="418"/>
      <c r="D43" s="466"/>
      <c r="E43" s="466"/>
      <c r="F43" s="466"/>
      <c r="G43" s="600"/>
      <c r="H43" s="600"/>
      <c r="I43" s="467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689"/>
      <c r="AB43" s="422"/>
      <c r="AC43" s="689"/>
      <c r="AD43" s="422"/>
      <c r="AE43" s="689"/>
      <c r="AF43" s="689"/>
      <c r="AG43" s="689"/>
      <c r="AH43" s="422"/>
      <c r="AI43" s="422"/>
    </row>
    <row r="44" spans="2:35" s="421" customFormat="1">
      <c r="B44" s="423"/>
      <c r="C44" s="418"/>
      <c r="D44" s="466"/>
      <c r="E44" s="466"/>
      <c r="F44" s="466"/>
      <c r="G44" s="600"/>
      <c r="H44" s="600"/>
      <c r="I44" s="467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689"/>
      <c r="AB44" s="422"/>
      <c r="AC44" s="689"/>
      <c r="AD44" s="422"/>
      <c r="AE44" s="689"/>
      <c r="AF44" s="689"/>
      <c r="AG44" s="689"/>
      <c r="AH44" s="422"/>
      <c r="AI44" s="422"/>
    </row>
    <row r="45" spans="2:35" s="421" customFormat="1">
      <c r="B45" s="423"/>
      <c r="C45" s="418"/>
      <c r="D45" s="466"/>
      <c r="E45" s="466"/>
      <c r="F45" s="466"/>
      <c r="G45" s="600"/>
      <c r="H45" s="600"/>
      <c r="I45" s="467"/>
      <c r="K45" s="422"/>
      <c r="L45" s="422"/>
      <c r="M45" s="422"/>
      <c r="N45" s="422"/>
      <c r="O45" s="422"/>
      <c r="P45" s="422"/>
      <c r="Q45" s="422"/>
      <c r="R45" s="422"/>
      <c r="S45" s="422"/>
      <c r="T45" s="422"/>
      <c r="U45" s="422"/>
      <c r="V45" s="422"/>
      <c r="W45" s="422"/>
      <c r="X45" s="422"/>
      <c r="Y45" s="422"/>
      <c r="Z45" s="422"/>
      <c r="AA45" s="689"/>
      <c r="AB45" s="422"/>
      <c r="AC45" s="689"/>
      <c r="AD45" s="422"/>
      <c r="AE45" s="689"/>
      <c r="AF45" s="689"/>
      <c r="AG45" s="689"/>
      <c r="AH45" s="422"/>
      <c r="AI45" s="422"/>
    </row>
  </sheetData>
  <mergeCells count="29">
    <mergeCell ref="A28:B28"/>
    <mergeCell ref="E30:F30"/>
    <mergeCell ref="E31:F31"/>
    <mergeCell ref="AG3:AH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H3:H4"/>
    <mergeCell ref="A1:I1"/>
    <mergeCell ref="A2:I2"/>
    <mergeCell ref="A5:C5"/>
    <mergeCell ref="A6:B6"/>
    <mergeCell ref="B12:C12"/>
    <mergeCell ref="I3:I4"/>
    <mergeCell ref="A3:A4"/>
    <mergeCell ref="B3:B4"/>
    <mergeCell ref="C3:C4"/>
    <mergeCell ref="G3:G4"/>
    <mergeCell ref="E3:E4"/>
    <mergeCell ref="D3:D4"/>
    <mergeCell ref="F3:F4"/>
  </mergeCells>
  <printOptions horizontalCentered="1"/>
  <pageMargins left="0.26" right="0.3" top="0.63" bottom="7.874015748031496E-2" header="1.1399999999999999" footer="0.31496062992125984"/>
  <pageSetup paperSize="9" scale="81" fitToHeight="0" orientation="landscape" r:id="rId1"/>
  <headerFooter scaleWithDoc="0"/>
  <rowBreaks count="1" manualBreakCount="1">
    <brk id="1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G67"/>
  <sheetViews>
    <sheetView view="pageBreakPreview" topLeftCell="B1" zoomScale="70" zoomScaleNormal="99" zoomScaleSheetLayoutView="70" workbookViewId="0">
      <pane xSplit="5" ySplit="7" topLeftCell="G53" activePane="bottomRight" state="frozen"/>
      <selection activeCell="B1" sqref="B1"/>
      <selection pane="topRight" activeCell="G1" sqref="G1"/>
      <selection pane="bottomLeft" activeCell="B8" sqref="B8"/>
      <selection pane="bottomRight" activeCell="J1" sqref="J1:AG1048576"/>
    </sheetView>
  </sheetViews>
  <sheetFormatPr defaultColWidth="9" defaultRowHeight="23.25" outlineLevelCol="1"/>
  <cols>
    <col min="1" max="1" width="9.28515625" style="386" customWidth="1"/>
    <col min="2" max="2" width="98.42578125" style="424" customWidth="1"/>
    <col min="3" max="3" width="21.28515625" style="394" customWidth="1"/>
    <col min="4" max="4" width="17.5703125" style="468" hidden="1" customWidth="1" outlineLevel="1"/>
    <col min="5" max="5" width="18.85546875" style="601" hidden="1" customWidth="1" outlineLevel="1"/>
    <col min="6" max="6" width="22.140625" style="468" customWidth="1" collapsed="1"/>
    <col min="7" max="7" width="18.42578125" style="468" customWidth="1"/>
    <col min="8" max="8" width="18.42578125" style="469" customWidth="1"/>
    <col min="9" max="9" width="18.42578125" style="468" customWidth="1"/>
    <col min="10" max="11" width="16.7109375" style="680" hidden="1" customWidth="1"/>
    <col min="12" max="33" width="16.7109375" style="675" hidden="1" customWidth="1"/>
    <col min="34" max="16384" width="9" style="386"/>
  </cols>
  <sheetData>
    <row r="1" spans="1:33" ht="27.75" customHeight="1">
      <c r="A1" s="781"/>
      <c r="B1" s="781"/>
      <c r="C1" s="781"/>
      <c r="D1" s="781"/>
      <c r="E1" s="781"/>
      <c r="F1" s="781"/>
      <c r="G1" s="781"/>
      <c r="H1" s="781"/>
      <c r="I1" s="781"/>
    </row>
    <row r="2" spans="1:33" s="388" customFormat="1" ht="26.25" customHeight="1">
      <c r="A2" s="769" t="s">
        <v>358</v>
      </c>
      <c r="B2" s="769" t="s">
        <v>359</v>
      </c>
      <c r="C2" s="769" t="s">
        <v>360</v>
      </c>
      <c r="D2" s="772" t="s">
        <v>2</v>
      </c>
      <c r="E2" s="782" t="s">
        <v>3</v>
      </c>
      <c r="F2" s="773" t="s">
        <v>413</v>
      </c>
      <c r="G2" s="768" t="s">
        <v>96</v>
      </c>
      <c r="H2" s="768" t="s">
        <v>99</v>
      </c>
      <c r="I2" s="768" t="s">
        <v>416</v>
      </c>
      <c r="J2" s="779">
        <v>22190</v>
      </c>
      <c r="K2" s="779"/>
      <c r="L2" s="779">
        <v>22221</v>
      </c>
      <c r="M2" s="779"/>
      <c r="N2" s="779">
        <v>22251</v>
      </c>
      <c r="O2" s="779"/>
      <c r="P2" s="779">
        <v>22282</v>
      </c>
      <c r="Q2" s="779"/>
      <c r="R2" s="779">
        <v>22313</v>
      </c>
      <c r="S2" s="779"/>
      <c r="T2" s="779">
        <v>22341</v>
      </c>
      <c r="U2" s="779"/>
      <c r="V2" s="779">
        <v>22372</v>
      </c>
      <c r="W2" s="779"/>
      <c r="X2" s="779">
        <v>22402</v>
      </c>
      <c r="Y2" s="779"/>
      <c r="Z2" s="779">
        <v>22433</v>
      </c>
      <c r="AA2" s="779"/>
      <c r="AB2" s="779">
        <v>22463</v>
      </c>
      <c r="AC2" s="779"/>
      <c r="AD2" s="779">
        <v>22494</v>
      </c>
      <c r="AE2" s="779"/>
      <c r="AF2" s="779">
        <v>22525</v>
      </c>
      <c r="AG2" s="779"/>
    </row>
    <row r="3" spans="1:33" s="388" customFormat="1" ht="25.5" customHeight="1">
      <c r="A3" s="769"/>
      <c r="B3" s="769"/>
      <c r="C3" s="769"/>
      <c r="D3" s="772"/>
      <c r="E3" s="783"/>
      <c r="F3" s="774"/>
      <c r="G3" s="768"/>
      <c r="H3" s="768"/>
      <c r="I3" s="768"/>
      <c r="J3" s="676" t="s">
        <v>2</v>
      </c>
      <c r="K3" s="676" t="s">
        <v>3</v>
      </c>
      <c r="L3" s="676" t="s">
        <v>2</v>
      </c>
      <c r="M3" s="676" t="s">
        <v>3</v>
      </c>
      <c r="N3" s="676" t="s">
        <v>2</v>
      </c>
      <c r="O3" s="676" t="s">
        <v>3</v>
      </c>
      <c r="P3" s="676" t="s">
        <v>2</v>
      </c>
      <c r="Q3" s="676" t="s">
        <v>3</v>
      </c>
      <c r="R3" s="676" t="s">
        <v>2</v>
      </c>
      <c r="S3" s="676" t="s">
        <v>3</v>
      </c>
      <c r="T3" s="676" t="s">
        <v>2</v>
      </c>
      <c r="U3" s="676" t="s">
        <v>3</v>
      </c>
      <c r="V3" s="676" t="s">
        <v>2</v>
      </c>
      <c r="W3" s="676" t="s">
        <v>3</v>
      </c>
      <c r="X3" s="676" t="s">
        <v>2</v>
      </c>
      <c r="Y3" s="676" t="s">
        <v>3</v>
      </c>
      <c r="Z3" s="676" t="s">
        <v>2</v>
      </c>
      <c r="AA3" s="676" t="s">
        <v>3</v>
      </c>
      <c r="AB3" s="676" t="s">
        <v>2</v>
      </c>
      <c r="AC3" s="676" t="s">
        <v>3</v>
      </c>
      <c r="AD3" s="676" t="s">
        <v>2</v>
      </c>
      <c r="AE3" s="676" t="s">
        <v>3</v>
      </c>
      <c r="AF3" s="676" t="s">
        <v>2</v>
      </c>
      <c r="AG3" s="676" t="s">
        <v>3</v>
      </c>
    </row>
    <row r="4" spans="1:33" s="388" customFormat="1">
      <c r="A4" s="765" t="s">
        <v>375</v>
      </c>
      <c r="B4" s="765"/>
      <c r="C4" s="765"/>
      <c r="D4" s="765"/>
      <c r="E4" s="495"/>
      <c r="F4" s="458"/>
      <c r="G4" s="458"/>
      <c r="H4" s="458"/>
      <c r="I4" s="458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</row>
    <row r="5" spans="1:33" s="388" customFormat="1" ht="27.75" customHeight="1">
      <c r="A5" s="765" t="s">
        <v>113</v>
      </c>
      <c r="B5" s="765"/>
      <c r="C5" s="390"/>
      <c r="D5" s="458"/>
      <c r="E5" s="495"/>
      <c r="F5" s="458"/>
      <c r="G5" s="458"/>
      <c r="H5" s="458"/>
      <c r="I5" s="458"/>
      <c r="J5" s="681"/>
      <c r="K5" s="681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77"/>
      <c r="AF5" s="677"/>
      <c r="AG5" s="677"/>
    </row>
    <row r="6" spans="1:33" s="403" customFormat="1" ht="39.75" customHeight="1">
      <c r="A6" s="504">
        <v>4</v>
      </c>
      <c r="B6" s="644" t="s">
        <v>33</v>
      </c>
      <c r="C6" s="645"/>
      <c r="D6" s="646">
        <f>D8+D9+D10+D12+D13</f>
        <v>4565740</v>
      </c>
      <c r="E6" s="647">
        <f>E11</f>
        <v>50000</v>
      </c>
      <c r="F6" s="646">
        <f>F8+F9+F10+F12+F13+F11</f>
        <v>4615740</v>
      </c>
      <c r="G6" s="646">
        <f>G8+G9+G10+G12+G13+G11</f>
        <v>4281380.46</v>
      </c>
      <c r="H6" s="646">
        <f t="shared" ref="H6" si="0">H8+H9+H10+H12+H13+H11</f>
        <v>0</v>
      </c>
      <c r="I6" s="646">
        <f>I8+I9+I10+I12+I13+I11</f>
        <v>334359.54000000004</v>
      </c>
      <c r="J6" s="682"/>
      <c r="K6" s="682"/>
      <c r="L6" s="678"/>
      <c r="M6" s="678"/>
      <c r="N6" s="678"/>
      <c r="O6" s="678"/>
      <c r="P6" s="678"/>
      <c r="Q6" s="678"/>
      <c r="R6" s="678"/>
      <c r="S6" s="678"/>
      <c r="T6" s="678"/>
      <c r="U6" s="678"/>
      <c r="V6" s="678"/>
      <c r="W6" s="678"/>
      <c r="X6" s="678"/>
      <c r="Y6" s="678"/>
      <c r="Z6" s="678"/>
      <c r="AA6" s="678"/>
      <c r="AB6" s="678"/>
      <c r="AC6" s="678"/>
      <c r="AD6" s="678"/>
      <c r="AE6" s="678"/>
      <c r="AF6" s="678"/>
      <c r="AG6" s="678"/>
    </row>
    <row r="7" spans="1:33">
      <c r="A7" s="396"/>
      <c r="B7" s="432" t="s">
        <v>209</v>
      </c>
      <c r="C7" s="414"/>
      <c r="D7" s="460"/>
      <c r="E7" s="519"/>
      <c r="F7" s="426"/>
      <c r="G7" s="426"/>
      <c r="H7" s="450"/>
      <c r="I7" s="426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</row>
    <row r="8" spans="1:33" s="411" customFormat="1" ht="33.75" customHeight="1">
      <c r="A8" s="415"/>
      <c r="B8" s="433" t="s">
        <v>376</v>
      </c>
      <c r="C8" s="674" t="s">
        <v>455</v>
      </c>
      <c r="D8" s="454">
        <v>2290400</v>
      </c>
      <c r="E8" s="497">
        <v>0</v>
      </c>
      <c r="F8" s="455">
        <f>D8</f>
        <v>2290400</v>
      </c>
      <c r="G8" s="454">
        <f>'ติดตาม งบปี61 จังหวัด (ผ.อ) '!I60</f>
        <v>2202816</v>
      </c>
      <c r="H8" s="489">
        <f>F8-G8-I8</f>
        <v>0</v>
      </c>
      <c r="I8" s="454">
        <f>'ติดตาม งบปี61 จังหวัด (ผ.อ) '!L60</f>
        <v>87584</v>
      </c>
      <c r="J8" s="518"/>
      <c r="K8" s="518"/>
      <c r="L8" s="519"/>
      <c r="M8" s="519"/>
      <c r="N8" s="519"/>
      <c r="O8" s="519"/>
      <c r="P8" s="519"/>
      <c r="Q8" s="519"/>
      <c r="R8" s="519">
        <f>198120</f>
        <v>198120</v>
      </c>
      <c r="S8" s="519"/>
      <c r="T8" s="519">
        <f>753800+39684+91800+99712+129525</f>
        <v>1114521</v>
      </c>
      <c r="U8" s="519"/>
      <c r="V8" s="519">
        <f>91800+8667</f>
        <v>100467</v>
      </c>
      <c r="W8" s="519"/>
      <c r="X8" s="519"/>
      <c r="Y8" s="519"/>
      <c r="Z8" s="519">
        <v>47508</v>
      </c>
      <c r="AA8" s="519"/>
      <c r="AB8" s="519">
        <v>298200</v>
      </c>
      <c r="AC8" s="519"/>
      <c r="AD8" s="519">
        <v>203000</v>
      </c>
      <c r="AE8" s="519"/>
      <c r="AF8" s="519">
        <v>241000</v>
      </c>
      <c r="AG8" s="519"/>
    </row>
    <row r="9" spans="1:33" s="403" customFormat="1" ht="33" customHeight="1">
      <c r="A9" s="402"/>
      <c r="B9" s="433" t="s">
        <v>418</v>
      </c>
      <c r="C9" s="414" t="s">
        <v>37</v>
      </c>
      <c r="D9" s="454">
        <v>500000</v>
      </c>
      <c r="E9" s="497">
        <v>0</v>
      </c>
      <c r="F9" s="455">
        <f>D9</f>
        <v>500000</v>
      </c>
      <c r="G9" s="454">
        <f>'ติดตาม งบปี61 จังหวัด (ผ.อ) '!I30</f>
        <v>495000</v>
      </c>
      <c r="H9" s="489">
        <f>F9-G9-I9</f>
        <v>0</v>
      </c>
      <c r="I9" s="454">
        <v>5000</v>
      </c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>
        <v>495000</v>
      </c>
      <c r="AG9" s="518"/>
    </row>
    <row r="10" spans="1:33" s="403" customFormat="1" ht="46.5">
      <c r="A10" s="402"/>
      <c r="B10" s="433" t="s">
        <v>632</v>
      </c>
      <c r="C10" s="410" t="s">
        <v>37</v>
      </c>
      <c r="D10" s="454">
        <v>1000000</v>
      </c>
      <c r="E10" s="497">
        <v>0</v>
      </c>
      <c r="F10" s="455">
        <f>D10</f>
        <v>1000000</v>
      </c>
      <c r="G10" s="454">
        <f>'ติดตาม งบปี61 จังหวัด (ผ.อ) '!I34</f>
        <v>758224.46</v>
      </c>
      <c r="H10" s="489">
        <f>F10-G10-I10</f>
        <v>0</v>
      </c>
      <c r="I10" s="454">
        <v>241775.54000000004</v>
      </c>
      <c r="J10" s="520"/>
      <c r="K10" s="520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>
        <f>38000</f>
        <v>38000</v>
      </c>
      <c r="Y10" s="496"/>
      <c r="Z10" s="496">
        <f>5000+43000+27154.46</f>
        <v>75154.459999999992</v>
      </c>
      <c r="AA10" s="496"/>
      <c r="AB10" s="496">
        <f>2100</f>
        <v>2100</v>
      </c>
      <c r="AC10" s="496"/>
      <c r="AD10" s="496">
        <f>152800+230450</f>
        <v>383250</v>
      </c>
      <c r="AE10" s="496"/>
      <c r="AF10" s="496">
        <f>3260+1725+78000+84000+4400+4800+19790+3600+30000+5670+315+24160</f>
        <v>259720</v>
      </c>
      <c r="AG10" s="496"/>
    </row>
    <row r="11" spans="1:33" s="403" customFormat="1">
      <c r="A11" s="402"/>
      <c r="B11" s="433" t="s">
        <v>428</v>
      </c>
      <c r="C11" s="414" t="s">
        <v>307</v>
      </c>
      <c r="D11" s="454"/>
      <c r="E11" s="637">
        <v>50000</v>
      </c>
      <c r="F11" s="455">
        <f>E11</f>
        <v>50000</v>
      </c>
      <c r="G11" s="454">
        <f>'ติดตาม งบปี61 จังหวัด (ผ.อ) '!I62</f>
        <v>50000</v>
      </c>
      <c r="H11" s="489">
        <f>F11-G11</f>
        <v>0</v>
      </c>
      <c r="I11" s="454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>
        <v>50000</v>
      </c>
      <c r="AD11" s="518"/>
      <c r="AE11" s="518"/>
      <c r="AF11" s="518"/>
      <c r="AG11" s="518"/>
    </row>
    <row r="12" spans="1:33" s="403" customFormat="1">
      <c r="A12" s="402"/>
      <c r="B12" s="433" t="s">
        <v>513</v>
      </c>
      <c r="C12" s="410" t="s">
        <v>39</v>
      </c>
      <c r="D12" s="454">
        <v>499500</v>
      </c>
      <c r="E12" s="637">
        <v>0</v>
      </c>
      <c r="F12" s="455">
        <v>499500</v>
      </c>
      <c r="G12" s="454">
        <f>'ติดตาม งบปี61 จังหวัด (ผ.อ) '!I106</f>
        <v>499500</v>
      </c>
      <c r="H12" s="489">
        <f>F12-G12</f>
        <v>0</v>
      </c>
      <c r="I12" s="454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</row>
    <row r="13" spans="1:33" s="403" customFormat="1" ht="46.5">
      <c r="A13" s="402"/>
      <c r="B13" s="433" t="s">
        <v>564</v>
      </c>
      <c r="C13" s="410" t="s">
        <v>307</v>
      </c>
      <c r="D13" s="454">
        <v>275840</v>
      </c>
      <c r="E13" s="637">
        <v>0</v>
      </c>
      <c r="F13" s="455">
        <f>D13</f>
        <v>275840</v>
      </c>
      <c r="G13" s="454">
        <v>275840</v>
      </c>
      <c r="H13" s="489">
        <f>F13-G13</f>
        <v>0</v>
      </c>
      <c r="I13" s="454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>
        <f>123500+13540+120000</f>
        <v>257040</v>
      </c>
      <c r="AE13" s="520"/>
      <c r="AF13" s="520"/>
      <c r="AG13" s="520"/>
    </row>
    <row r="14" spans="1:33" s="388" customFormat="1">
      <c r="A14" s="765" t="s">
        <v>78</v>
      </c>
      <c r="B14" s="765"/>
      <c r="C14" s="765"/>
      <c r="D14" s="765"/>
      <c r="E14" s="495"/>
      <c r="F14" s="458"/>
      <c r="G14" s="458"/>
      <c r="H14" s="458"/>
      <c r="I14" s="458"/>
      <c r="J14" s="518"/>
      <c r="K14" s="518"/>
      <c r="L14" s="519"/>
      <c r="M14" s="519"/>
      <c r="N14" s="519"/>
      <c r="O14" s="519"/>
      <c r="P14" s="519"/>
      <c r="Q14" s="519"/>
      <c r="R14" s="519"/>
      <c r="S14" s="519"/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519"/>
      <c r="AF14" s="519"/>
      <c r="AG14" s="519"/>
    </row>
    <row r="15" spans="1:33" ht="39.75" customHeight="1">
      <c r="A15" s="391">
        <v>5</v>
      </c>
      <c r="B15" s="430" t="s">
        <v>25</v>
      </c>
      <c r="C15" s="431"/>
      <c r="D15" s="459">
        <v>1500000</v>
      </c>
      <c r="E15" s="495"/>
      <c r="F15" s="458">
        <f>F17</f>
        <v>1500000</v>
      </c>
      <c r="G15" s="458">
        <f>G17</f>
        <v>1425446.23</v>
      </c>
      <c r="H15" s="458">
        <f>H17</f>
        <v>0</v>
      </c>
      <c r="I15" s="458"/>
      <c r="J15" s="683"/>
      <c r="K15" s="683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  <c r="AC15" s="497"/>
      <c r="AD15" s="497"/>
      <c r="AE15" s="497"/>
      <c r="AF15" s="497"/>
      <c r="AG15" s="497"/>
    </row>
    <row r="16" spans="1:33">
      <c r="A16" s="396"/>
      <c r="B16" s="432" t="s">
        <v>26</v>
      </c>
      <c r="C16" s="414"/>
      <c r="D16" s="460"/>
      <c r="E16" s="519"/>
      <c r="F16" s="426"/>
      <c r="G16" s="426"/>
      <c r="H16" s="450"/>
      <c r="I16" s="426"/>
      <c r="J16" s="520"/>
      <c r="K16" s="520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</row>
    <row r="17" spans="1:33" ht="32.25" customHeight="1">
      <c r="A17" s="396"/>
      <c r="B17" s="413" t="s">
        <v>378</v>
      </c>
      <c r="C17" s="414" t="s">
        <v>37</v>
      </c>
      <c r="D17" s="427">
        <v>1500000</v>
      </c>
      <c r="E17" s="523"/>
      <c r="F17" s="427">
        <v>1500000</v>
      </c>
      <c r="G17" s="427">
        <f>'ติดตาม งบปี61 จังหวัด (ผ.อ) '!I28</f>
        <v>1425446.23</v>
      </c>
      <c r="H17" s="460">
        <f>F17-G17-I17</f>
        <v>0</v>
      </c>
      <c r="I17" s="427">
        <v>74553.77</v>
      </c>
      <c r="J17" s="520"/>
      <c r="K17" s="520"/>
      <c r="L17" s="496">
        <f>4000</f>
        <v>4000</v>
      </c>
      <c r="M17" s="496"/>
      <c r="N17" s="496">
        <f>2100+17589+5500+5460+93600+13500+23997.96</f>
        <v>161746.96</v>
      </c>
      <c r="O17" s="496"/>
      <c r="P17" s="496">
        <f>20000+2500+2100+12519+33491+130000+10000+23970</f>
        <v>234580</v>
      </c>
      <c r="Q17" s="496"/>
      <c r="R17" s="496">
        <f>1050+2500</f>
        <v>3550</v>
      </c>
      <c r="S17" s="496"/>
      <c r="T17" s="496">
        <f>6000</f>
        <v>6000</v>
      </c>
      <c r="U17" s="496"/>
      <c r="V17" s="496">
        <f>16000+20000+21100+11368.75</f>
        <v>68468.75</v>
      </c>
      <c r="W17" s="496"/>
      <c r="X17" s="496">
        <v>12800</v>
      </c>
      <c r="Y17" s="496"/>
      <c r="Z17" s="496">
        <f>28700+118000+6000</f>
        <v>152700</v>
      </c>
      <c r="AA17" s="496"/>
      <c r="AB17" s="496">
        <f>24000+93600+81000+38500+4860+50000+2300+7000+43490</f>
        <v>344750</v>
      </c>
      <c r="AC17" s="496"/>
      <c r="AD17" s="496">
        <f>18000+35000+3000+150000+40000+45000+15220+39842.52+48700+2500</f>
        <v>397262.52</v>
      </c>
      <c r="AE17" s="496"/>
      <c r="AF17" s="496">
        <f>7088+2500+30000</f>
        <v>39588</v>
      </c>
      <c r="AG17" s="496"/>
    </row>
    <row r="18" spans="1:33" ht="34.5" customHeight="1">
      <c r="A18" s="391">
        <v>6</v>
      </c>
      <c r="B18" s="430" t="s">
        <v>29</v>
      </c>
      <c r="C18" s="431"/>
      <c r="D18" s="459">
        <f>D24</f>
        <v>2643100</v>
      </c>
      <c r="E18" s="495">
        <f>E20+E21+E22+E23+E25+E26+E27+E28+E29+E30+E31+E32+E33</f>
        <v>40891000</v>
      </c>
      <c r="F18" s="458">
        <f>F20+F21+F22+F23+F24+F25+F26+F27+F28+F29+F30+F31+F32+F33</f>
        <v>43534100</v>
      </c>
      <c r="G18" s="458">
        <f>G20+G21+G22+G23+G24+G25+G26+G27+G28+G29+G30+G31+G32+G33</f>
        <v>10350115</v>
      </c>
      <c r="H18" s="458">
        <f>H20+H21+H22+H23+H24+H25+H26+H27+H28+H29+H30+H31+H32+H33</f>
        <v>26435707.460000001</v>
      </c>
      <c r="I18" s="458">
        <f t="shared" ref="I18" si="1">I20+I21+I22+I23+I24+I25+I26+I27+I28+I29+I30+I31+I32+I33</f>
        <v>5996177.54</v>
      </c>
      <c r="J18" s="520"/>
      <c r="K18" s="520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</row>
    <row r="19" spans="1:33" ht="46.5">
      <c r="A19" s="396"/>
      <c r="B19" s="432" t="s">
        <v>214</v>
      </c>
      <c r="C19" s="434"/>
      <c r="D19" s="460"/>
      <c r="E19" s="519"/>
      <c r="F19" s="426"/>
      <c r="G19" s="426"/>
      <c r="H19" s="450"/>
      <c r="I19" s="426"/>
      <c r="J19" s="520"/>
      <c r="K19" s="520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</row>
    <row r="20" spans="1:33" s="403" customFormat="1" ht="46.5">
      <c r="A20" s="407"/>
      <c r="B20" s="433" t="s">
        <v>437</v>
      </c>
      <c r="C20" s="406" t="s">
        <v>436</v>
      </c>
      <c r="D20" s="454"/>
      <c r="E20" s="497">
        <v>1342000</v>
      </c>
      <c r="F20" s="455">
        <f>E20</f>
        <v>1342000</v>
      </c>
      <c r="G20" s="455">
        <f>'ติดตาม งบปี61 จังหวัด (ผ.อ) '!I121</f>
        <v>1298000</v>
      </c>
      <c r="H20" s="484">
        <f t="shared" ref="H20:H25" si="2">F20-G20-I20</f>
        <v>0</v>
      </c>
      <c r="I20" s="455">
        <v>44000</v>
      </c>
      <c r="J20" s="520"/>
      <c r="K20" s="520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>
        <v>1298000</v>
      </c>
      <c r="AD20" s="496"/>
      <c r="AE20" s="496"/>
      <c r="AF20" s="496"/>
      <c r="AG20" s="496"/>
    </row>
    <row r="21" spans="1:33" s="403" customFormat="1">
      <c r="A21" s="407"/>
      <c r="B21" s="433" t="s">
        <v>438</v>
      </c>
      <c r="C21" s="1" t="s">
        <v>166</v>
      </c>
      <c r="D21" s="454"/>
      <c r="E21" s="497">
        <v>1420000</v>
      </c>
      <c r="F21" s="455">
        <f>E21</f>
        <v>1420000</v>
      </c>
      <c r="G21" s="455">
        <f>'ติดตาม งบปี61 จังหวัด (ผ.อ) '!I172</f>
        <v>655000</v>
      </c>
      <c r="H21" s="484">
        <f t="shared" si="2"/>
        <v>655000</v>
      </c>
      <c r="I21" s="455">
        <f>'ติดตาม งบปี61 จังหวัด (ผ.อ) '!M172</f>
        <v>110000</v>
      </c>
      <c r="J21" s="520"/>
      <c r="K21" s="520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>
        <v>655000</v>
      </c>
      <c r="AB21" s="496"/>
      <c r="AC21" s="496"/>
      <c r="AD21" s="496"/>
      <c r="AE21" s="496"/>
      <c r="AF21" s="496"/>
      <c r="AG21" s="496"/>
    </row>
    <row r="22" spans="1:33" s="403" customFormat="1" ht="46.5">
      <c r="A22" s="407"/>
      <c r="B22" s="433" t="s">
        <v>439</v>
      </c>
      <c r="C22" s="1" t="s">
        <v>166</v>
      </c>
      <c r="D22" s="454"/>
      <c r="E22" s="497">
        <v>13000000</v>
      </c>
      <c r="F22" s="455">
        <f>E22</f>
        <v>13000000</v>
      </c>
      <c r="G22" s="455">
        <f>'ติดตาม งบปี61 จังหวัด (ผ.อ) '!I188</f>
        <v>0</v>
      </c>
      <c r="H22" s="484">
        <f t="shared" si="2"/>
        <v>10420000</v>
      </c>
      <c r="I22" s="455">
        <f>'ติดตาม งบปี61 จังหวัด (ผ.อ) '!M188</f>
        <v>2580000</v>
      </c>
      <c r="J22" s="520"/>
      <c r="K22" s="520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</row>
    <row r="23" spans="1:33" s="403" customFormat="1" ht="69.75">
      <c r="A23" s="407"/>
      <c r="B23" s="433" t="s">
        <v>487</v>
      </c>
      <c r="C23" s="1" t="s">
        <v>166</v>
      </c>
      <c r="D23" s="454"/>
      <c r="E23" s="497">
        <v>3500000</v>
      </c>
      <c r="F23" s="455">
        <f>E23</f>
        <v>3500000</v>
      </c>
      <c r="G23" s="455">
        <f>'ติดตาม งบปี61 จังหวัด (ผ.อ) '!I175</f>
        <v>455985</v>
      </c>
      <c r="H23" s="484">
        <f>F23-G23-460100</f>
        <v>2583915</v>
      </c>
      <c r="I23" s="455"/>
      <c r="J23" s="518"/>
      <c r="K23" s="518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>
        <v>455985</v>
      </c>
      <c r="AB23" s="519"/>
      <c r="AC23" s="519"/>
      <c r="AD23" s="519"/>
      <c r="AE23" s="519"/>
      <c r="AF23" s="519"/>
      <c r="AG23" s="519"/>
    </row>
    <row r="24" spans="1:33" s="403" customFormat="1" ht="46.5">
      <c r="A24" s="407"/>
      <c r="B24" s="433" t="s">
        <v>440</v>
      </c>
      <c r="C24" s="572" t="s">
        <v>224</v>
      </c>
      <c r="D24" s="454">
        <v>2643100</v>
      </c>
      <c r="E24" s="497"/>
      <c r="F24" s="455">
        <f>D24</f>
        <v>2643100</v>
      </c>
      <c r="G24" s="455">
        <f>'ติดตาม งบปี61 จังหวัด (ผ.อ) '!I194</f>
        <v>2423130</v>
      </c>
      <c r="H24" s="706">
        <f t="shared" si="2"/>
        <v>18792.459999999992</v>
      </c>
      <c r="I24" s="455">
        <v>201177.54</v>
      </c>
      <c r="J24" s="518"/>
      <c r="K24" s="518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>
        <f>133200+30000</f>
        <v>163200</v>
      </c>
      <c r="AA24" s="519"/>
      <c r="AB24" s="519">
        <f>1704000+15500+8100+113400+3600+329500+39540+25120</f>
        <v>2238760</v>
      </c>
      <c r="AC24" s="519"/>
      <c r="AD24" s="519"/>
      <c r="AE24" s="519"/>
      <c r="AF24" s="519">
        <v>21170</v>
      </c>
      <c r="AG24" s="519"/>
    </row>
    <row r="25" spans="1:33" s="403" customFormat="1">
      <c r="A25" s="407"/>
      <c r="B25" s="433" t="s">
        <v>447</v>
      </c>
      <c r="C25" s="410" t="s">
        <v>382</v>
      </c>
      <c r="D25" s="454"/>
      <c r="E25" s="497">
        <v>1265000</v>
      </c>
      <c r="F25" s="455">
        <f>E25</f>
        <v>1265000</v>
      </c>
      <c r="G25" s="455">
        <f>'ติดตาม งบปี61 จังหวัด (ผ.อ) '!I259</f>
        <v>815000</v>
      </c>
      <c r="H25" s="484">
        <f t="shared" si="2"/>
        <v>0</v>
      </c>
      <c r="I25" s="455">
        <f>'ติดตาม งบปี61 จังหวัด (ผ.อ) '!M259</f>
        <v>450000</v>
      </c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>
        <v>815000</v>
      </c>
      <c r="AD25" s="520"/>
      <c r="AE25" s="520"/>
      <c r="AF25" s="520"/>
      <c r="AG25" s="520"/>
    </row>
    <row r="26" spans="1:33" s="428" customFormat="1">
      <c r="A26" s="407"/>
      <c r="B26" s="433" t="s">
        <v>448</v>
      </c>
      <c r="C26" s="406" t="s">
        <v>386</v>
      </c>
      <c r="D26" s="454"/>
      <c r="E26" s="497">
        <v>1000000</v>
      </c>
      <c r="F26" s="455">
        <f>E26</f>
        <v>1000000</v>
      </c>
      <c r="G26" s="455">
        <f>'ติดตาม งบปี61 จังหวัด (ผ.อ) '!I287</f>
        <v>0</v>
      </c>
      <c r="H26" s="484">
        <f>F26-G26-I26</f>
        <v>616000</v>
      </c>
      <c r="I26" s="455">
        <v>384000</v>
      </c>
      <c r="J26" s="679"/>
      <c r="K26" s="679"/>
      <c r="L26" s="679"/>
      <c r="M26" s="679"/>
      <c r="N26" s="679"/>
      <c r="O26" s="679"/>
      <c r="P26" s="679"/>
      <c r="Q26" s="679"/>
      <c r="R26" s="679"/>
      <c r="S26" s="679"/>
      <c r="T26" s="679"/>
      <c r="U26" s="679"/>
      <c r="V26" s="679"/>
      <c r="W26" s="679"/>
      <c r="X26" s="679"/>
      <c r="Y26" s="679"/>
      <c r="Z26" s="679"/>
      <c r="AA26" s="679"/>
      <c r="AB26" s="679"/>
      <c r="AC26" s="679"/>
      <c r="AD26" s="679"/>
      <c r="AE26" s="679"/>
      <c r="AF26" s="679"/>
      <c r="AG26" s="679"/>
    </row>
    <row r="27" spans="1:33" s="403" customFormat="1">
      <c r="A27" s="407"/>
      <c r="B27" s="433" t="s">
        <v>449</v>
      </c>
      <c r="C27" s="406" t="s">
        <v>383</v>
      </c>
      <c r="D27" s="454"/>
      <c r="E27" s="497">
        <v>1084000</v>
      </c>
      <c r="F27" s="455">
        <v>1084000</v>
      </c>
      <c r="G27" s="455">
        <f>'ติดตาม งบปี61 จังหวัด (ผ.อ) '!I296</f>
        <v>0</v>
      </c>
      <c r="H27" s="484">
        <f>F27-G27-I27</f>
        <v>879000</v>
      </c>
      <c r="I27" s="455">
        <f>'ติดตาม งบปี61 จังหวัด (ผ.อ) '!M296</f>
        <v>205000</v>
      </c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</row>
    <row r="28" spans="1:33" s="403" customFormat="1">
      <c r="A28" s="407"/>
      <c r="B28" s="433" t="s">
        <v>450</v>
      </c>
      <c r="C28" s="406" t="s">
        <v>404</v>
      </c>
      <c r="D28" s="454"/>
      <c r="E28" s="497">
        <v>1065000</v>
      </c>
      <c r="F28" s="455">
        <f>E28</f>
        <v>1065000</v>
      </c>
      <c r="G28" s="455">
        <f>'ติดตาม งบปี61 จังหวัด (ผ.อ) '!I308</f>
        <v>780000</v>
      </c>
      <c r="H28" s="484">
        <f>F28-G28-I28</f>
        <v>0</v>
      </c>
      <c r="I28" s="455">
        <f>'ติดตาม งบปี61 จังหวัด (ผ.อ) '!M308</f>
        <v>285000</v>
      </c>
      <c r="J28" s="518"/>
      <c r="K28" s="518"/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>
        <v>780000</v>
      </c>
      <c r="AF28" s="519"/>
      <c r="AG28" s="519"/>
    </row>
    <row r="29" spans="1:33" s="403" customFormat="1" ht="46.5">
      <c r="A29" s="407"/>
      <c r="B29" s="433" t="s">
        <v>451</v>
      </c>
      <c r="C29" s="406" t="s">
        <v>406</v>
      </c>
      <c r="D29" s="454"/>
      <c r="E29" s="497">
        <v>498000</v>
      </c>
      <c r="F29" s="455">
        <f>E29</f>
        <v>498000</v>
      </c>
      <c r="G29" s="455">
        <f>F29</f>
        <v>498000</v>
      </c>
      <c r="H29" s="484">
        <f t="shared" ref="H29:H30" si="3">F29-G29</f>
        <v>0</v>
      </c>
      <c r="I29" s="455"/>
      <c r="J29" s="683"/>
      <c r="K29" s="683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>
        <v>498000</v>
      </c>
      <c r="Z29" s="497"/>
      <c r="AA29" s="497"/>
      <c r="AB29" s="497"/>
      <c r="AC29" s="497"/>
      <c r="AD29" s="497"/>
      <c r="AE29" s="497"/>
      <c r="AF29" s="497"/>
      <c r="AG29" s="497"/>
    </row>
    <row r="30" spans="1:33" s="403" customFormat="1" ht="46.5">
      <c r="A30" s="407"/>
      <c r="B30" s="433" t="s">
        <v>452</v>
      </c>
      <c r="C30" s="406" t="s">
        <v>406</v>
      </c>
      <c r="D30" s="454"/>
      <c r="E30" s="497">
        <v>217000</v>
      </c>
      <c r="F30" s="455">
        <f>E30</f>
        <v>217000</v>
      </c>
      <c r="G30" s="455">
        <f>F30</f>
        <v>217000</v>
      </c>
      <c r="H30" s="484">
        <f t="shared" si="3"/>
        <v>0</v>
      </c>
      <c r="I30" s="455"/>
      <c r="J30" s="692"/>
      <c r="K30" s="692"/>
      <c r="L30" s="526"/>
      <c r="M30" s="526"/>
      <c r="N30" s="526"/>
      <c r="O30" s="526"/>
      <c r="P30" s="526"/>
      <c r="Q30" s="526"/>
      <c r="R30" s="526"/>
      <c r="S30" s="526"/>
      <c r="T30" s="526"/>
      <c r="U30" s="526"/>
      <c r="V30" s="526"/>
      <c r="W30" s="526"/>
      <c r="X30" s="526"/>
      <c r="Y30" s="526">
        <v>217000</v>
      </c>
      <c r="Z30" s="526"/>
      <c r="AA30" s="526"/>
      <c r="AB30" s="526"/>
      <c r="AC30" s="526"/>
      <c r="AD30" s="526"/>
      <c r="AE30" s="526"/>
      <c r="AF30" s="526"/>
      <c r="AG30" s="526"/>
    </row>
    <row r="31" spans="1:33" s="403" customFormat="1">
      <c r="A31" s="407"/>
      <c r="B31" s="433" t="s">
        <v>453</v>
      </c>
      <c r="C31" s="406" t="s">
        <v>454</v>
      </c>
      <c r="D31" s="454"/>
      <c r="E31" s="497">
        <v>2000000</v>
      </c>
      <c r="F31" s="455">
        <v>2000000</v>
      </c>
      <c r="G31" s="455">
        <v>1819000</v>
      </c>
      <c r="H31" s="484">
        <f>F31-G31-181000</f>
        <v>0</v>
      </c>
      <c r="I31" s="455"/>
      <c r="J31" s="524"/>
      <c r="K31" s="524"/>
      <c r="L31" s="517"/>
      <c r="M31" s="517"/>
      <c r="N31" s="517"/>
      <c r="O31" s="517"/>
      <c r="P31" s="517"/>
      <c r="Q31" s="517"/>
      <c r="R31" s="517"/>
      <c r="S31" s="517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>
        <v>1819000</v>
      </c>
      <c r="AF31" s="517"/>
      <c r="AG31" s="517"/>
    </row>
    <row r="32" spans="1:33" s="403" customFormat="1">
      <c r="A32" s="407"/>
      <c r="B32" s="433" t="s">
        <v>559</v>
      </c>
      <c r="C32" s="406" t="s">
        <v>454</v>
      </c>
      <c r="D32" s="454"/>
      <c r="E32" s="497">
        <v>1500000</v>
      </c>
      <c r="F32" s="455">
        <v>1500000</v>
      </c>
      <c r="G32" s="455">
        <v>1389000</v>
      </c>
      <c r="H32" s="484">
        <f>F32-G32-111000</f>
        <v>0</v>
      </c>
      <c r="I32" s="455"/>
      <c r="J32" s="524"/>
      <c r="K32" s="524"/>
      <c r="L32" s="517"/>
      <c r="M32" s="517"/>
      <c r="N32" s="517"/>
      <c r="O32" s="517"/>
      <c r="P32" s="517"/>
      <c r="Q32" s="517"/>
      <c r="R32" s="517"/>
      <c r="S32" s="517"/>
      <c r="T32" s="517"/>
      <c r="U32" s="517"/>
      <c r="V32" s="517"/>
      <c r="W32" s="517"/>
      <c r="X32" s="517"/>
      <c r="Y32" s="517"/>
      <c r="Z32" s="517"/>
      <c r="AA32" s="517"/>
      <c r="AB32" s="517"/>
      <c r="AC32" s="517"/>
      <c r="AD32" s="517"/>
      <c r="AE32" s="517">
        <v>1389000</v>
      </c>
      <c r="AF32" s="517"/>
      <c r="AG32" s="517"/>
    </row>
    <row r="33" spans="1:33" s="403" customFormat="1" ht="69.75">
      <c r="A33" s="407"/>
      <c r="B33" s="433" t="s">
        <v>631</v>
      </c>
      <c r="C33" s="1" t="s">
        <v>166</v>
      </c>
      <c r="D33" s="454"/>
      <c r="E33" s="497">
        <v>13000000</v>
      </c>
      <c r="F33" s="455">
        <v>13000000</v>
      </c>
      <c r="G33" s="455">
        <f>'ติดตาม งบปี61 จังหวัด (ผ.อ) '!I185</f>
        <v>0</v>
      </c>
      <c r="H33" s="484">
        <f>F33-G33-I33</f>
        <v>11263000</v>
      </c>
      <c r="I33" s="455">
        <v>1737000</v>
      </c>
      <c r="J33" s="524"/>
      <c r="K33" s="524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7"/>
    </row>
    <row r="34" spans="1:33" ht="29.25" customHeight="1">
      <c r="A34" s="391">
        <v>7</v>
      </c>
      <c r="B34" s="430" t="s">
        <v>215</v>
      </c>
      <c r="C34" s="431"/>
      <c r="D34" s="459">
        <f>D36+D37</f>
        <v>2040000</v>
      </c>
      <c r="E34" s="495"/>
      <c r="F34" s="458">
        <f>F36+F37</f>
        <v>2040000</v>
      </c>
      <c r="G34" s="458">
        <f>G36+G37</f>
        <v>2040000</v>
      </c>
      <c r="H34" s="458">
        <f>H36+H37</f>
        <v>0</v>
      </c>
      <c r="I34" s="458"/>
      <c r="J34" s="524"/>
      <c r="K34" s="524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7"/>
      <c r="AF34" s="517"/>
      <c r="AG34" s="517"/>
    </row>
    <row r="35" spans="1:33" ht="29.25" customHeight="1">
      <c r="A35" s="396"/>
      <c r="B35" s="435" t="s">
        <v>216</v>
      </c>
      <c r="C35" s="414"/>
      <c r="D35" s="460"/>
      <c r="E35" s="519"/>
      <c r="F35" s="426"/>
      <c r="G35" s="426"/>
      <c r="H35" s="450"/>
      <c r="I35" s="426"/>
      <c r="J35" s="524"/>
      <c r="K35" s="524"/>
      <c r="L35" s="517"/>
      <c r="M35" s="517"/>
      <c r="N35" s="517"/>
      <c r="O35" s="517"/>
      <c r="P35" s="517"/>
      <c r="Q35" s="517"/>
      <c r="R35" s="517"/>
      <c r="S35" s="517"/>
      <c r="T35" s="517"/>
      <c r="U35" s="517"/>
      <c r="V35" s="517"/>
      <c r="W35" s="517"/>
      <c r="X35" s="517"/>
      <c r="Y35" s="517"/>
      <c r="Z35" s="517"/>
      <c r="AA35" s="517"/>
      <c r="AB35" s="517"/>
      <c r="AC35" s="517"/>
      <c r="AD35" s="517"/>
      <c r="AE35" s="517"/>
      <c r="AF35" s="517"/>
      <c r="AG35" s="517"/>
    </row>
    <row r="36" spans="1:33">
      <c r="A36" s="442"/>
      <c r="B36" s="413" t="s">
        <v>379</v>
      </c>
      <c r="C36" s="414" t="s">
        <v>76</v>
      </c>
      <c r="D36" s="427">
        <v>1140000</v>
      </c>
      <c r="E36" s="523" t="s">
        <v>377</v>
      </c>
      <c r="F36" s="478">
        <f>D36</f>
        <v>1140000</v>
      </c>
      <c r="G36" s="427">
        <f>'ติดตาม งบปี61 จังหวัด (ผ.อ) '!I67</f>
        <v>1140000</v>
      </c>
      <c r="H36" s="460">
        <f>F36-G36</f>
        <v>0</v>
      </c>
      <c r="I36" s="427"/>
      <c r="J36" s="524"/>
      <c r="K36" s="524"/>
      <c r="L36" s="517">
        <f>860000+20000+20000+60000</f>
        <v>960000</v>
      </c>
      <c r="M36" s="517"/>
      <c r="N36" s="517">
        <f>60000+60000+60000</f>
        <v>180000</v>
      </c>
      <c r="O36" s="517"/>
      <c r="P36" s="517"/>
      <c r="Q36" s="517"/>
      <c r="R36" s="517"/>
      <c r="S36" s="517"/>
      <c r="T36" s="517"/>
      <c r="U36" s="517"/>
      <c r="V36" s="517"/>
      <c r="W36" s="517"/>
      <c r="X36" s="517"/>
      <c r="Y36" s="517"/>
      <c r="Z36" s="517"/>
      <c r="AA36" s="517"/>
      <c r="AC36" s="517"/>
      <c r="AD36" s="517"/>
      <c r="AE36" s="517"/>
      <c r="AF36" s="517"/>
      <c r="AG36" s="517"/>
    </row>
    <row r="37" spans="1:33">
      <c r="A37" s="442"/>
      <c r="B37" s="409" t="s">
        <v>380</v>
      </c>
      <c r="C37" s="414" t="s">
        <v>76</v>
      </c>
      <c r="D37" s="427">
        <v>900000</v>
      </c>
      <c r="E37" s="523" t="s">
        <v>377</v>
      </c>
      <c r="F37" s="478">
        <f>D37</f>
        <v>900000</v>
      </c>
      <c r="G37" s="427">
        <f>'ติดตาม งบปี61 จังหวัด (ผ.อ) '!I69</f>
        <v>900000</v>
      </c>
      <c r="H37" s="460">
        <f>F37-G37-I37</f>
        <v>0</v>
      </c>
      <c r="I37" s="461"/>
      <c r="J37" s="524"/>
      <c r="K37" s="524"/>
      <c r="L37" s="517"/>
      <c r="M37" s="517"/>
      <c r="N37" s="517">
        <v>64800</v>
      </c>
      <c r="O37" s="517"/>
      <c r="P37" s="517"/>
      <c r="Q37" s="517"/>
      <c r="R37" s="517">
        <v>98400</v>
      </c>
      <c r="S37" s="517"/>
      <c r="T37" s="517"/>
      <c r="U37" s="517"/>
      <c r="V37" s="517"/>
      <c r="W37" s="517"/>
      <c r="X37" s="517"/>
      <c r="Y37" s="517"/>
      <c r="Z37" s="517"/>
      <c r="AA37" s="517"/>
      <c r="AB37" s="517">
        <v>508800</v>
      </c>
      <c r="AC37" s="517"/>
      <c r="AD37" s="517"/>
      <c r="AE37" s="517"/>
      <c r="AF37" s="517">
        <f>9600+8000+98400+2000+2000+2000+2000+2000+2000+2000+2000+2000+2000+2000+2000+2000+2000+2000+2000+80000</f>
        <v>228000</v>
      </c>
      <c r="AG37" s="517"/>
    </row>
    <row r="38" spans="1:33" ht="30.75" customHeight="1">
      <c r="A38" s="391">
        <v>8</v>
      </c>
      <c r="B38" s="436" t="s">
        <v>213</v>
      </c>
      <c r="C38" s="437"/>
      <c r="D38" s="459">
        <f>D39+D40</f>
        <v>6448400</v>
      </c>
      <c r="E38" s="495">
        <f>E39</f>
        <v>489000</v>
      </c>
      <c r="F38" s="458">
        <f>F39+F40</f>
        <v>6937400</v>
      </c>
      <c r="G38" s="458">
        <f>G39+G40</f>
        <v>6600093</v>
      </c>
      <c r="H38" s="458">
        <f>H39+H40</f>
        <v>337307</v>
      </c>
      <c r="I38" s="458"/>
      <c r="J38" s="524"/>
      <c r="K38" s="524"/>
      <c r="L38" s="517"/>
      <c r="M38" s="517"/>
      <c r="N38" s="517"/>
      <c r="O38" s="517"/>
      <c r="P38" s="517"/>
      <c r="Q38" s="517"/>
      <c r="R38" s="517"/>
      <c r="S38" s="517"/>
      <c r="T38" s="517"/>
      <c r="U38" s="517"/>
      <c r="V38" s="517"/>
      <c r="W38" s="517"/>
      <c r="X38" s="517"/>
      <c r="Y38" s="517"/>
      <c r="Z38" s="517"/>
      <c r="AA38" s="517"/>
      <c r="AB38" s="517"/>
      <c r="AC38" s="517"/>
      <c r="AD38" s="517"/>
      <c r="AE38" s="517"/>
      <c r="AF38" s="517"/>
      <c r="AG38" s="517"/>
    </row>
    <row r="39" spans="1:33" s="419" customFormat="1" ht="30.75" customHeight="1">
      <c r="A39" s="487"/>
      <c r="B39" s="413" t="s">
        <v>429</v>
      </c>
      <c r="C39" s="414" t="s">
        <v>30</v>
      </c>
      <c r="D39" s="427">
        <v>6290400</v>
      </c>
      <c r="E39" s="638">
        <v>489000</v>
      </c>
      <c r="F39" s="488">
        <f>D39+E39</f>
        <v>6779400</v>
      </c>
      <c r="G39" s="488">
        <f>'ติดตาม งบปี61 จังหวัด (ผ.อ) '!I74</f>
        <v>6453343</v>
      </c>
      <c r="H39" s="457">
        <f>F39-G39</f>
        <v>326057</v>
      </c>
      <c r="I39" s="457"/>
      <c r="J39" s="524"/>
      <c r="K39" s="524"/>
      <c r="L39" s="517"/>
      <c r="M39" s="517"/>
      <c r="N39" s="517"/>
      <c r="O39" s="517"/>
      <c r="P39" s="517"/>
      <c r="Q39" s="517"/>
      <c r="R39" s="517"/>
      <c r="S39" s="517"/>
      <c r="T39" s="517">
        <f>246000</f>
        <v>246000</v>
      </c>
      <c r="U39" s="517"/>
      <c r="V39" s="517">
        <f>12000</f>
        <v>12000</v>
      </c>
      <c r="W39" s="517"/>
      <c r="X39" s="517">
        <f>10800+34800+299932+96000+249690</f>
        <v>691222</v>
      </c>
      <c r="Y39" s="517"/>
      <c r="Z39" s="517">
        <f>640000+100000+60000+10800+2000+53600+428400+31500+29960</f>
        <v>1356260</v>
      </c>
      <c r="AA39" s="517"/>
      <c r="AB39" s="517">
        <f>224320+10000+10500+10500+420000+21000+10500+6000+151900</f>
        <v>864720</v>
      </c>
      <c r="AC39" s="517"/>
      <c r="AD39" s="517">
        <f>52500+10800+10000+15800+3000+192600+3000+2000+4000+3000+3000+12720+3000+18750+18060+4000+2000+5000+3000+2000+3000+10800+37000+16170+10800+10800+10786+16170+5400+3000+2000+9000+1500+10800+880+16170</f>
        <v>532506</v>
      </c>
      <c r="AE39" s="517"/>
      <c r="AF39" s="517">
        <f>3120+20000+6600+2000+16170+3960+3000+25800+6544+30400+10800+4000+36120+38420+10500+9700+3000+25000+3000+37000+6000+34000+16170+3000+21600+37000+2000+6000+10800+37000+10500+10500+29400+16170+3000+14250+16170+16170+21000+16500+1500+3000+3000+18000+21600+10500+10500+10500+10500+10500+10500+480000+37000+3000+144000+2400+21600+16170+16170+16170+16170+13770+16170+19500+21600+16960+10800+14490+10500+10800+10470+45000+15000+12000+4800+23138.04+24534+17783.96+6720+3000+10800+16170+16170+3000+3000+10800+11900+7500+21600+21600+27400+9600+10800+21600+22000+18540+15000+24000+5885+6420+17000+29130+10800+6000+18240+17400+21580+20740+28050+7950+18780</f>
        <v>2261635</v>
      </c>
      <c r="AG39" s="517">
        <v>489000</v>
      </c>
    </row>
    <row r="40" spans="1:33" s="419" customFormat="1" ht="46.5">
      <c r="A40" s="487"/>
      <c r="B40" s="413" t="s">
        <v>633</v>
      </c>
      <c r="C40" s="410" t="s">
        <v>227</v>
      </c>
      <c r="D40" s="454">
        <v>158000</v>
      </c>
      <c r="E40" s="638"/>
      <c r="F40" s="493">
        <v>158000</v>
      </c>
      <c r="G40" s="493">
        <f>'ติดตาม งบปี61 จังหวัด (ผ.อ) '!I79</f>
        <v>146750</v>
      </c>
      <c r="H40" s="494">
        <f>F40-G40</f>
        <v>11250</v>
      </c>
      <c r="I40" s="457"/>
      <c r="J40" s="524"/>
      <c r="K40" s="524"/>
      <c r="L40" s="517"/>
      <c r="M40" s="517"/>
      <c r="N40" s="517"/>
      <c r="O40" s="517"/>
      <c r="P40" s="517"/>
      <c r="Q40" s="517"/>
      <c r="R40" s="517"/>
      <c r="S40" s="517"/>
      <c r="T40" s="517"/>
      <c r="U40" s="517"/>
      <c r="V40" s="517">
        <v>33730</v>
      </c>
      <c r="W40" s="517"/>
      <c r="X40" s="517">
        <v>11250</v>
      </c>
      <c r="Y40" s="517"/>
      <c r="Z40" s="517"/>
      <c r="AA40" s="517"/>
      <c r="AB40" s="517"/>
      <c r="AC40" s="517"/>
      <c r="AD40" s="517"/>
      <c r="AE40" s="517"/>
      <c r="AF40" s="526">
        <f>11770+15000+75000</f>
        <v>101770</v>
      </c>
      <c r="AG40" s="517"/>
    </row>
    <row r="41" spans="1:33">
      <c r="A41" s="391">
        <v>9</v>
      </c>
      <c r="B41" s="430" t="s">
        <v>27</v>
      </c>
      <c r="C41" s="401"/>
      <c r="D41" s="462"/>
      <c r="E41" s="495">
        <f>E43+E44+E45+E46+E47+E48+E49+E50+E51+E52+E53+E54+E55+E56+E57+E58</f>
        <v>59290800</v>
      </c>
      <c r="F41" s="458">
        <f>F43+F44+F45+F46+F47+F48+F49+F50+F51+F52+F53+F54+F55+F56+F57+F58</f>
        <v>59290800</v>
      </c>
      <c r="G41" s="458">
        <f t="shared" ref="G41:I41" si="4">G43+G44+G45+G46+G47+G48+G49+G50+G51+G52+G53+G54+G55+G56+G57+G58</f>
        <v>11614600</v>
      </c>
      <c r="H41" s="458">
        <f>H43+H44+H45+H46+H47+H48+H49+H50+H51+H52+H53+H54+H55+H56+H57+H58</f>
        <v>40886222.149999999</v>
      </c>
      <c r="I41" s="458">
        <f t="shared" si="4"/>
        <v>2672177.8499999996</v>
      </c>
      <c r="J41" s="524"/>
      <c r="K41" s="524"/>
      <c r="L41" s="517"/>
      <c r="M41" s="517"/>
      <c r="N41" s="517"/>
      <c r="O41" s="517"/>
      <c r="P41" s="517"/>
      <c r="Q41" s="517"/>
      <c r="R41" s="517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  <c r="AF41" s="517"/>
      <c r="AG41" s="517"/>
    </row>
    <row r="42" spans="1:33">
      <c r="A42" s="396"/>
      <c r="B42" s="432" t="s">
        <v>28</v>
      </c>
      <c r="C42" s="398"/>
      <c r="D42" s="451"/>
      <c r="E42" s="519"/>
      <c r="F42" s="426"/>
      <c r="G42" s="426"/>
      <c r="H42" s="450"/>
      <c r="I42" s="426"/>
      <c r="J42" s="524"/>
      <c r="K42" s="524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  <c r="AF42" s="517"/>
      <c r="AG42" s="517"/>
    </row>
    <row r="43" spans="1:33" s="428" customFormat="1">
      <c r="A43" s="407"/>
      <c r="B43" s="409" t="s">
        <v>381</v>
      </c>
      <c r="C43" s="410" t="s">
        <v>382</v>
      </c>
      <c r="D43" s="454"/>
      <c r="E43" s="497">
        <v>1960000</v>
      </c>
      <c r="F43" s="455">
        <f t="shared" ref="F43:F48" si="5">E43</f>
        <v>1960000</v>
      </c>
      <c r="G43" s="455">
        <f>'ติดตาม งบปี61 จังหวัด (ผ.อ) '!I250</f>
        <v>1380000</v>
      </c>
      <c r="H43" s="484">
        <f>F43-G43-580000</f>
        <v>0</v>
      </c>
      <c r="I43" s="455"/>
      <c r="J43" s="524"/>
      <c r="K43" s="524"/>
      <c r="L43" s="517"/>
      <c r="M43" s="517"/>
      <c r="N43" s="517"/>
      <c r="O43" s="517"/>
      <c r="P43" s="517"/>
      <c r="Q43" s="517"/>
      <c r="R43" s="517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>
        <v>1380000</v>
      </c>
      <c r="AD43" s="517"/>
      <c r="AE43" s="517"/>
      <c r="AF43" s="517"/>
      <c r="AG43" s="517"/>
    </row>
    <row r="44" spans="1:33" s="428" customFormat="1">
      <c r="A44" s="407"/>
      <c r="B44" s="433" t="s">
        <v>441</v>
      </c>
      <c r="C44" s="410" t="s">
        <v>382</v>
      </c>
      <c r="D44" s="454"/>
      <c r="E44" s="497">
        <v>1960000</v>
      </c>
      <c r="F44" s="455">
        <f t="shared" si="5"/>
        <v>1960000</v>
      </c>
      <c r="G44" s="455">
        <f>'ติดตาม งบปี61 จังหวัด (ผ.อ) '!I253</f>
        <v>1370000</v>
      </c>
      <c r="H44" s="484">
        <f>F44-G44-590000</f>
        <v>0</v>
      </c>
      <c r="I44" s="455"/>
      <c r="J44" s="524"/>
      <c r="K44" s="524"/>
      <c r="L44" s="517"/>
      <c r="M44" s="517"/>
      <c r="N44" s="517"/>
      <c r="O44" s="517"/>
      <c r="P44" s="517"/>
      <c r="Q44" s="517"/>
      <c r="R44" s="517"/>
      <c r="S44" s="517"/>
      <c r="T44" s="517"/>
      <c r="U44" s="517"/>
      <c r="V44" s="517"/>
      <c r="W44" s="517"/>
      <c r="X44" s="517"/>
      <c r="Y44" s="517"/>
      <c r="Z44" s="517"/>
      <c r="AA44" s="517"/>
      <c r="AB44" s="517"/>
      <c r="AC44" s="517">
        <v>1370000</v>
      </c>
      <c r="AD44" s="517"/>
      <c r="AE44" s="517"/>
      <c r="AF44" s="517"/>
      <c r="AG44" s="517"/>
    </row>
    <row r="45" spans="1:33" s="516" customFormat="1" ht="27.75" customHeight="1">
      <c r="A45" s="441"/>
      <c r="B45" s="433" t="s">
        <v>630</v>
      </c>
      <c r="C45" s="410" t="s">
        <v>382</v>
      </c>
      <c r="D45" s="454"/>
      <c r="E45" s="597">
        <v>980000</v>
      </c>
      <c r="F45" s="449">
        <f t="shared" si="5"/>
        <v>980000</v>
      </c>
      <c r="G45" s="449">
        <f>'ติดตาม งบปี61 จังหวัด (ผ.อ) '!I256</f>
        <v>728000</v>
      </c>
      <c r="H45" s="453">
        <f>F45-G45-252000</f>
        <v>0</v>
      </c>
      <c r="I45" s="449"/>
      <c r="J45" s="524"/>
      <c r="K45" s="524"/>
      <c r="L45" s="517"/>
      <c r="M45" s="517"/>
      <c r="N45" s="517"/>
      <c r="O45" s="517"/>
      <c r="P45" s="517"/>
      <c r="Q45" s="517"/>
      <c r="R45" s="517"/>
      <c r="S45" s="517"/>
      <c r="T45" s="517"/>
      <c r="U45" s="517">
        <v>728000</v>
      </c>
      <c r="V45" s="517"/>
      <c r="W45" s="517"/>
      <c r="X45" s="517"/>
      <c r="Y45" s="517"/>
      <c r="Z45" s="517"/>
      <c r="AA45" s="517"/>
      <c r="AB45" s="517"/>
      <c r="AC45" s="517"/>
      <c r="AD45" s="517"/>
      <c r="AE45" s="517"/>
      <c r="AF45" s="517"/>
      <c r="AG45" s="517"/>
    </row>
    <row r="46" spans="1:33" s="421" customFormat="1">
      <c r="A46" s="604" t="s">
        <v>561</v>
      </c>
      <c r="B46" s="605" t="s">
        <v>442</v>
      </c>
      <c r="C46" s="606" t="s">
        <v>385</v>
      </c>
      <c r="D46" s="607"/>
      <c r="E46" s="639">
        <v>18100000</v>
      </c>
      <c r="F46" s="608">
        <f t="shared" si="5"/>
        <v>18100000</v>
      </c>
      <c r="G46" s="608"/>
      <c r="H46" s="609">
        <f>F46-G46</f>
        <v>18100000</v>
      </c>
      <c r="I46" s="608"/>
      <c r="J46" s="524"/>
      <c r="K46" s="524"/>
      <c r="L46" s="517"/>
      <c r="M46" s="517"/>
      <c r="N46" s="517"/>
      <c r="O46" s="517"/>
      <c r="P46" s="517"/>
      <c r="Q46" s="517"/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  <c r="AF46" s="517"/>
      <c r="AG46" s="517"/>
    </row>
    <row r="47" spans="1:33" s="421" customFormat="1">
      <c r="A47" s="604" t="s">
        <v>561</v>
      </c>
      <c r="B47" s="605" t="s">
        <v>443</v>
      </c>
      <c r="C47" s="606" t="s">
        <v>385</v>
      </c>
      <c r="D47" s="607"/>
      <c r="E47" s="639">
        <v>7379400</v>
      </c>
      <c r="F47" s="608">
        <f t="shared" si="5"/>
        <v>7379400</v>
      </c>
      <c r="G47" s="608"/>
      <c r="H47" s="609">
        <f>F47-G47</f>
        <v>7379400</v>
      </c>
      <c r="I47" s="608"/>
      <c r="J47" s="679"/>
      <c r="K47" s="679"/>
      <c r="L47" s="523"/>
      <c r="M47" s="523"/>
      <c r="N47" s="523"/>
      <c r="O47" s="523"/>
      <c r="P47" s="523"/>
      <c r="Q47" s="523"/>
      <c r="R47" s="523"/>
      <c r="S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</row>
    <row r="48" spans="1:33" s="428" customFormat="1">
      <c r="A48" s="439"/>
      <c r="B48" s="433" t="s">
        <v>444</v>
      </c>
      <c r="C48" s="410" t="s">
        <v>386</v>
      </c>
      <c r="D48" s="454"/>
      <c r="E48" s="526">
        <v>457600</v>
      </c>
      <c r="F48" s="463">
        <f t="shared" si="5"/>
        <v>457600</v>
      </c>
      <c r="G48" s="463">
        <v>456000</v>
      </c>
      <c r="H48" s="491">
        <f>F48-G48-1600</f>
        <v>0</v>
      </c>
      <c r="I48" s="463"/>
      <c r="J48" s="679"/>
      <c r="K48" s="679"/>
      <c r="L48" s="523"/>
      <c r="M48" s="523"/>
      <c r="N48" s="523"/>
      <c r="O48" s="523"/>
      <c r="P48" s="684"/>
      <c r="Q48" s="523">
        <v>456000</v>
      </c>
      <c r="R48" s="523"/>
      <c r="S48" s="523"/>
      <c r="T48" s="523"/>
      <c r="U48" s="523"/>
      <c r="V48" s="523"/>
      <c r="W48" s="523"/>
      <c r="X48" s="523"/>
      <c r="Y48" s="523"/>
      <c r="Z48" s="523"/>
      <c r="AA48" s="523"/>
      <c r="AB48" s="523"/>
      <c r="AC48" s="523"/>
      <c r="AD48" s="523"/>
      <c r="AE48" s="523"/>
      <c r="AF48" s="523"/>
      <c r="AG48" s="523"/>
    </row>
    <row r="49" spans="1:33" s="428" customFormat="1">
      <c r="A49" s="439"/>
      <c r="B49" s="433" t="s">
        <v>445</v>
      </c>
      <c r="C49" s="410" t="s">
        <v>386</v>
      </c>
      <c r="D49" s="454"/>
      <c r="E49" s="526">
        <v>486000</v>
      </c>
      <c r="F49" s="463">
        <v>486000</v>
      </c>
      <c r="G49" s="463">
        <v>484500</v>
      </c>
      <c r="H49" s="491">
        <v>0</v>
      </c>
      <c r="I49" s="463"/>
      <c r="J49" s="679"/>
      <c r="K49" s="679"/>
      <c r="L49" s="523"/>
      <c r="M49" s="523"/>
      <c r="N49" s="523"/>
      <c r="O49" s="523"/>
      <c r="P49" s="523"/>
      <c r="Q49" s="523"/>
      <c r="R49" s="523"/>
      <c r="S49" s="523">
        <v>484500</v>
      </c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</row>
    <row r="50" spans="1:33" s="419" customFormat="1">
      <c r="A50" s="438"/>
      <c r="B50" s="413" t="s">
        <v>446</v>
      </c>
      <c r="C50" s="414" t="s">
        <v>386</v>
      </c>
      <c r="D50" s="427"/>
      <c r="E50" s="517">
        <v>479200</v>
      </c>
      <c r="F50" s="464">
        <v>479200</v>
      </c>
      <c r="G50" s="463">
        <v>477700</v>
      </c>
      <c r="H50" s="490">
        <v>0</v>
      </c>
      <c r="I50" s="464"/>
      <c r="J50" s="679"/>
      <c r="K50" s="679"/>
      <c r="L50" s="523"/>
      <c r="M50" s="523"/>
      <c r="N50" s="523"/>
      <c r="O50" s="523"/>
      <c r="P50" s="523"/>
      <c r="Q50" s="523"/>
      <c r="R50" s="523"/>
      <c r="S50" s="523">
        <v>477700</v>
      </c>
      <c r="T50" s="523"/>
      <c r="U50" s="523"/>
      <c r="V50" s="523"/>
      <c r="W50" s="523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</row>
    <row r="51" spans="1:33" s="419" customFormat="1">
      <c r="A51" s="438"/>
      <c r="B51" s="413" t="s">
        <v>463</v>
      </c>
      <c r="C51" s="414" t="s">
        <v>386</v>
      </c>
      <c r="D51" s="427"/>
      <c r="E51" s="517">
        <v>485100</v>
      </c>
      <c r="F51" s="464">
        <f>E51</f>
        <v>485100</v>
      </c>
      <c r="G51" s="463">
        <v>483600</v>
      </c>
      <c r="H51" s="490">
        <v>0</v>
      </c>
      <c r="I51" s="464"/>
      <c r="J51" s="679"/>
      <c r="K51" s="679"/>
      <c r="L51" s="523"/>
      <c r="M51" s="523"/>
      <c r="N51" s="523"/>
      <c r="O51" s="523"/>
      <c r="P51" s="523"/>
      <c r="Q51" s="523"/>
      <c r="R51" s="523"/>
      <c r="S51" s="523">
        <v>483600</v>
      </c>
      <c r="T51" s="523"/>
      <c r="U51" s="523"/>
      <c r="V51" s="523"/>
      <c r="W51" s="523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</row>
    <row r="52" spans="1:33" s="419" customFormat="1">
      <c r="A52" s="438"/>
      <c r="B52" s="413" t="s">
        <v>464</v>
      </c>
      <c r="C52" s="414" t="s">
        <v>386</v>
      </c>
      <c r="D52" s="427"/>
      <c r="E52" s="517">
        <v>472300</v>
      </c>
      <c r="F52" s="464">
        <v>472300</v>
      </c>
      <c r="G52" s="463">
        <v>470800</v>
      </c>
      <c r="H52" s="490">
        <v>0</v>
      </c>
      <c r="I52" s="464"/>
      <c r="J52" s="679"/>
      <c r="K52" s="679"/>
      <c r="L52" s="523"/>
      <c r="M52" s="523"/>
      <c r="N52" s="523"/>
      <c r="O52" s="523"/>
      <c r="P52" s="523"/>
      <c r="Q52" s="523"/>
      <c r="R52" s="523"/>
      <c r="S52" s="523">
        <v>470800</v>
      </c>
      <c r="T52" s="523"/>
      <c r="U52" s="523"/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</row>
    <row r="53" spans="1:33" s="419" customFormat="1">
      <c r="A53" s="438"/>
      <c r="B53" s="413" t="s">
        <v>465</v>
      </c>
      <c r="C53" s="414" t="s">
        <v>383</v>
      </c>
      <c r="D53" s="427"/>
      <c r="E53" s="517">
        <v>3115400</v>
      </c>
      <c r="F53" s="464">
        <f t="shared" ref="F53:F58" si="6">E53</f>
        <v>3115400</v>
      </c>
      <c r="G53" s="464">
        <f>'ติดตาม งบปี61 จังหวัด (ผ.อ) '!I290</f>
        <v>2170000</v>
      </c>
      <c r="H53" s="490">
        <f>F53-G53-945400</f>
        <v>0</v>
      </c>
      <c r="I53" s="464"/>
      <c r="J53" s="679"/>
      <c r="K53" s="679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>
        <v>2170000</v>
      </c>
      <c r="AF53" s="523"/>
      <c r="AG53" s="442"/>
    </row>
    <row r="54" spans="1:33" s="428" customFormat="1" ht="46.5">
      <c r="A54" s="439"/>
      <c r="B54" s="433" t="s">
        <v>629</v>
      </c>
      <c r="C54" s="410" t="s">
        <v>383</v>
      </c>
      <c r="D54" s="454"/>
      <c r="E54" s="526">
        <v>4522800</v>
      </c>
      <c r="F54" s="463">
        <f t="shared" si="6"/>
        <v>4522800</v>
      </c>
      <c r="G54" s="463">
        <f>'ติดตาม งบปี61 จังหวัด (ผ.อ) '!I293</f>
        <v>2780000</v>
      </c>
      <c r="H54" s="491">
        <f>F54-G54-1742800</f>
        <v>0</v>
      </c>
      <c r="I54" s="463"/>
      <c r="J54" s="679"/>
      <c r="K54" s="679"/>
      <c r="L54" s="523"/>
      <c r="M54" s="523"/>
      <c r="N54" s="523"/>
      <c r="O54" s="523"/>
      <c r="P54" s="523"/>
      <c r="Q54" s="523"/>
      <c r="R54" s="523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497">
        <v>2780000</v>
      </c>
      <c r="AF54" s="523"/>
      <c r="AG54" s="523"/>
    </row>
    <row r="55" spans="1:33" s="419" customFormat="1">
      <c r="A55" s="438"/>
      <c r="B55" s="413" t="s">
        <v>466</v>
      </c>
      <c r="C55" s="414" t="s">
        <v>405</v>
      </c>
      <c r="D55" s="427"/>
      <c r="E55" s="517">
        <v>13279000</v>
      </c>
      <c r="F55" s="464">
        <f t="shared" si="6"/>
        <v>13279000</v>
      </c>
      <c r="G55" s="464">
        <f>'ติดตาม งบปี61 จังหวัด (ผ.อ) '!I331</f>
        <v>0</v>
      </c>
      <c r="H55" s="490">
        <f t="shared" ref="H55" si="7">F55-G55-I55</f>
        <v>10623200</v>
      </c>
      <c r="I55" s="464">
        <v>2655800</v>
      </c>
      <c r="J55" s="679"/>
      <c r="K55" s="679"/>
      <c r="L55" s="523"/>
      <c r="M55" s="523"/>
      <c r="N55" s="523"/>
      <c r="O55" s="523"/>
      <c r="P55" s="523"/>
      <c r="Q55" s="523"/>
      <c r="R55" s="523"/>
      <c r="S55" s="523"/>
      <c r="T55" s="523"/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</row>
    <row r="56" spans="1:33" s="419" customFormat="1">
      <c r="A56" s="438"/>
      <c r="B56" s="413" t="s">
        <v>568</v>
      </c>
      <c r="C56" s="414" t="s">
        <v>570</v>
      </c>
      <c r="D56" s="427"/>
      <c r="E56" s="517">
        <v>400000</v>
      </c>
      <c r="F56" s="464">
        <f>E56</f>
        <v>400000</v>
      </c>
      <c r="G56" s="464">
        <f>'ติดตาม งบปี61 จังหวัด (ผ.อ) '!I238</f>
        <v>400000</v>
      </c>
      <c r="H56" s="490">
        <f>F56-G56</f>
        <v>0</v>
      </c>
      <c r="I56" s="464"/>
      <c r="J56" s="679"/>
      <c r="K56" s="679"/>
      <c r="L56" s="523"/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523"/>
      <c r="AF56" s="523"/>
      <c r="AG56" s="523">
        <v>400000</v>
      </c>
    </row>
    <row r="57" spans="1:33" s="428" customFormat="1" ht="46.5">
      <c r="A57" s="439"/>
      <c r="B57" s="433" t="s">
        <v>628</v>
      </c>
      <c r="C57" s="410" t="s">
        <v>570</v>
      </c>
      <c r="D57" s="454"/>
      <c r="E57" s="526">
        <v>414000</v>
      </c>
      <c r="F57" s="463">
        <f t="shared" si="6"/>
        <v>414000</v>
      </c>
      <c r="G57" s="463">
        <f>'ติดตาม งบปี61 จังหวัด (ผ.อ) '!I240</f>
        <v>414000</v>
      </c>
      <c r="H57" s="491">
        <f>F57-G57</f>
        <v>0</v>
      </c>
      <c r="I57" s="463"/>
      <c r="J57" s="683"/>
      <c r="K57" s="683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97"/>
      <c r="W57" s="497"/>
      <c r="X57" s="497"/>
      <c r="Y57" s="497"/>
      <c r="Z57" s="497"/>
      <c r="AA57" s="497"/>
      <c r="AB57" s="497"/>
      <c r="AC57" s="497"/>
      <c r="AD57" s="497"/>
      <c r="AE57" s="497"/>
      <c r="AF57" s="497"/>
      <c r="AG57" s="497">
        <v>414000</v>
      </c>
    </row>
    <row r="58" spans="1:33" s="428" customFormat="1">
      <c r="A58" s="439"/>
      <c r="B58" s="433" t="s">
        <v>569</v>
      </c>
      <c r="C58" s="410" t="s">
        <v>571</v>
      </c>
      <c r="D58" s="454"/>
      <c r="E58" s="526">
        <v>4800000</v>
      </c>
      <c r="F58" s="463">
        <f t="shared" si="6"/>
        <v>4800000</v>
      </c>
      <c r="G58" s="463"/>
      <c r="H58" s="491">
        <f>F58-G58-I58</f>
        <v>4783622.1500000004</v>
      </c>
      <c r="I58" s="463">
        <v>16377.849999999627</v>
      </c>
      <c r="J58" s="683"/>
      <c r="K58" s="683"/>
      <c r="L58" s="497"/>
      <c r="M58" s="497"/>
      <c r="N58" s="497"/>
      <c r="O58" s="497"/>
      <c r="P58" s="497"/>
      <c r="Q58" s="497"/>
      <c r="R58" s="497"/>
      <c r="S58" s="497"/>
      <c r="T58" s="497"/>
      <c r="U58" s="497"/>
      <c r="V58" s="497"/>
      <c r="W58" s="497"/>
      <c r="X58" s="497"/>
      <c r="Y58" s="497"/>
      <c r="Z58" s="497"/>
      <c r="AA58" s="497"/>
      <c r="AB58" s="497"/>
      <c r="AC58" s="497"/>
      <c r="AD58" s="497"/>
      <c r="AE58" s="497"/>
      <c r="AF58" s="497"/>
      <c r="AG58" s="497"/>
    </row>
    <row r="59" spans="1:33" s="5" customFormat="1" ht="30" customHeight="1">
      <c r="A59" s="780" t="s">
        <v>576</v>
      </c>
      <c r="B59" s="780"/>
      <c r="C59" s="685"/>
      <c r="D59" s="462">
        <f>D6+D15+D18+D34+D38</f>
        <v>17197240</v>
      </c>
      <c r="E59" s="631">
        <f>E18+E41+E38+E6</f>
        <v>100720800</v>
      </c>
      <c r="F59" s="6">
        <v>159818050</v>
      </c>
      <c r="G59" s="6">
        <v>35793334.689999998</v>
      </c>
      <c r="H59" s="6">
        <v>94648279.129999995</v>
      </c>
      <c r="I59" s="6">
        <v>9002714.9299999997</v>
      </c>
      <c r="J59" s="686">
        <f>SUM(J7:J58)</f>
        <v>0</v>
      </c>
      <c r="K59" s="686">
        <f t="shared" ref="K59:AF59" si="8">SUM(K7:K58)</f>
        <v>0</v>
      </c>
      <c r="L59" s="686">
        <f t="shared" si="8"/>
        <v>964000</v>
      </c>
      <c r="M59" s="686">
        <f t="shared" si="8"/>
        <v>0</v>
      </c>
      <c r="N59" s="686">
        <f t="shared" si="8"/>
        <v>406546.95999999996</v>
      </c>
      <c r="O59" s="686">
        <f t="shared" si="8"/>
        <v>0</v>
      </c>
      <c r="P59" s="686">
        <f t="shared" si="8"/>
        <v>234580</v>
      </c>
      <c r="Q59" s="686">
        <f t="shared" si="8"/>
        <v>456000</v>
      </c>
      <c r="R59" s="686">
        <f t="shared" si="8"/>
        <v>300070</v>
      </c>
      <c r="S59" s="686">
        <f t="shared" si="8"/>
        <v>1916600</v>
      </c>
      <c r="T59" s="686">
        <f t="shared" si="8"/>
        <v>1366521</v>
      </c>
      <c r="U59" s="686">
        <f t="shared" si="8"/>
        <v>728000</v>
      </c>
      <c r="V59" s="686">
        <f t="shared" si="8"/>
        <v>214665.75</v>
      </c>
      <c r="W59" s="686">
        <f t="shared" si="8"/>
        <v>0</v>
      </c>
      <c r="X59" s="686">
        <f t="shared" si="8"/>
        <v>753272</v>
      </c>
      <c r="Y59" s="686">
        <f t="shared" si="8"/>
        <v>715000</v>
      </c>
      <c r="Z59" s="686">
        <f t="shared" si="8"/>
        <v>1794822.46</v>
      </c>
      <c r="AA59" s="686">
        <f t="shared" si="8"/>
        <v>1110985</v>
      </c>
      <c r="AB59" s="686">
        <f t="shared" si="8"/>
        <v>4257330</v>
      </c>
      <c r="AC59" s="686">
        <f t="shared" si="8"/>
        <v>4913000</v>
      </c>
      <c r="AD59" s="686">
        <f t="shared" si="8"/>
        <v>1773058.52</v>
      </c>
      <c r="AE59" s="686">
        <f t="shared" si="8"/>
        <v>8938000</v>
      </c>
      <c r="AF59" s="686">
        <f t="shared" si="8"/>
        <v>3647883</v>
      </c>
      <c r="AG59" s="686">
        <f>SUM(AG7:AG58)</f>
        <v>1303000</v>
      </c>
    </row>
    <row r="60" spans="1:33" s="421" customFormat="1" hidden="1">
      <c r="B60" s="423"/>
      <c r="C60" s="418"/>
      <c r="D60" s="466"/>
      <c r="E60" s="784" t="s">
        <v>526</v>
      </c>
      <c r="F60" s="784"/>
      <c r="G60" s="4">
        <v>5050903.71</v>
      </c>
      <c r="H60" s="492"/>
      <c r="I60" s="467"/>
      <c r="J60" s="680"/>
      <c r="K60" s="680"/>
      <c r="L60" s="675"/>
      <c r="M60" s="675"/>
      <c r="N60" s="675"/>
      <c r="O60" s="675"/>
      <c r="P60" s="675"/>
      <c r="Q60" s="675"/>
      <c r="R60" s="675"/>
      <c r="S60" s="675"/>
      <c r="T60" s="675"/>
      <c r="U60" s="675"/>
      <c r="V60" s="675"/>
      <c r="W60" s="675"/>
      <c r="X60" s="675"/>
      <c r="Y60" s="675"/>
      <c r="Z60" s="675"/>
      <c r="AA60" s="675"/>
      <c r="AB60" s="675"/>
      <c r="AC60" s="675"/>
      <c r="AD60" s="675"/>
      <c r="AE60" s="675"/>
      <c r="AF60" s="675"/>
      <c r="AG60" s="675"/>
    </row>
    <row r="61" spans="1:33" s="421" customFormat="1" hidden="1">
      <c r="B61" s="423"/>
      <c r="C61" s="418"/>
      <c r="D61" s="466"/>
      <c r="E61" s="784" t="s">
        <v>527</v>
      </c>
      <c r="F61" s="784"/>
      <c r="G61" s="4">
        <v>3815600.0000000009</v>
      </c>
      <c r="H61" s="492"/>
      <c r="I61" s="467"/>
      <c r="J61" s="680"/>
      <c r="K61" s="680"/>
      <c r="L61" s="675"/>
      <c r="M61" s="675"/>
      <c r="N61" s="675"/>
      <c r="O61" s="675"/>
      <c r="P61" s="675"/>
      <c r="Q61" s="675"/>
      <c r="R61" s="675"/>
      <c r="S61" s="675"/>
      <c r="T61" s="675"/>
      <c r="U61" s="675"/>
      <c r="V61" s="675"/>
      <c r="W61" s="675"/>
      <c r="X61" s="675"/>
      <c r="Y61" s="675"/>
      <c r="Z61" s="675"/>
      <c r="AA61" s="675"/>
      <c r="AB61" s="675"/>
      <c r="AC61" s="675"/>
      <c r="AD61" s="675"/>
      <c r="AE61" s="675"/>
      <c r="AF61" s="675"/>
      <c r="AG61" s="675"/>
    </row>
    <row r="62" spans="1:33" s="421" customFormat="1">
      <c r="B62" s="423"/>
      <c r="C62" s="418"/>
      <c r="D62" s="466"/>
      <c r="E62" s="600"/>
      <c r="F62" s="467"/>
      <c r="G62" s="467"/>
      <c r="H62" s="492"/>
      <c r="I62" s="467"/>
      <c r="J62" s="680"/>
      <c r="K62" s="680"/>
      <c r="L62" s="675"/>
      <c r="M62" s="675"/>
      <c r="N62" s="675"/>
      <c r="O62" s="675"/>
      <c r="P62" s="675"/>
      <c r="Q62" s="675"/>
      <c r="R62" s="675"/>
      <c r="S62" s="675"/>
      <c r="T62" s="675"/>
      <c r="U62" s="675"/>
      <c r="V62" s="675"/>
      <c r="W62" s="675"/>
      <c r="X62" s="675"/>
      <c r="Y62" s="675"/>
      <c r="Z62" s="675"/>
      <c r="AA62" s="675"/>
      <c r="AB62" s="675"/>
      <c r="AC62" s="675"/>
      <c r="AD62" s="675"/>
      <c r="AE62" s="675"/>
      <c r="AF62" s="675"/>
      <c r="AG62" s="675"/>
    </row>
    <row r="63" spans="1:33" s="421" customFormat="1">
      <c r="B63" s="423"/>
      <c r="C63" s="671"/>
      <c r="D63" s="466"/>
      <c r="E63" s="600"/>
      <c r="F63" s="467"/>
      <c r="G63" s="467"/>
      <c r="H63" s="492"/>
      <c r="I63" s="467"/>
      <c r="J63" s="680"/>
      <c r="K63" s="680"/>
      <c r="L63" s="675"/>
      <c r="M63" s="675"/>
      <c r="N63" s="675"/>
      <c r="O63" s="675"/>
      <c r="P63" s="675"/>
      <c r="Q63" s="675"/>
      <c r="R63" s="675"/>
      <c r="S63" s="675"/>
      <c r="T63" s="675"/>
      <c r="U63" s="675"/>
      <c r="V63" s="675"/>
      <c r="W63" s="675"/>
      <c r="X63" s="675"/>
      <c r="Y63" s="675"/>
      <c r="Z63" s="675"/>
      <c r="AA63" s="675"/>
      <c r="AB63" s="675"/>
      <c r="AC63" s="675"/>
      <c r="AD63" s="675"/>
      <c r="AE63" s="675"/>
      <c r="AF63" s="675"/>
      <c r="AG63" s="675"/>
    </row>
    <row r="64" spans="1:33" s="421" customFormat="1">
      <c r="B64" s="423"/>
      <c r="C64" s="418"/>
      <c r="D64" s="466"/>
      <c r="E64" s="600"/>
      <c r="F64" s="467"/>
      <c r="G64" s="467"/>
      <c r="H64" s="492"/>
      <c r="I64" s="467"/>
      <c r="J64" s="680"/>
      <c r="K64" s="680"/>
      <c r="L64" s="675"/>
      <c r="M64" s="675"/>
      <c r="N64" s="675"/>
      <c r="O64" s="675"/>
      <c r="P64" s="675"/>
      <c r="Q64" s="675"/>
      <c r="R64" s="675"/>
      <c r="S64" s="675"/>
      <c r="T64" s="675"/>
      <c r="U64" s="675"/>
      <c r="V64" s="675"/>
      <c r="W64" s="675"/>
      <c r="X64" s="675"/>
      <c r="Y64" s="675"/>
      <c r="Z64" s="675"/>
      <c r="AA64" s="675"/>
      <c r="AB64" s="675"/>
      <c r="AC64" s="675"/>
      <c r="AD64" s="675"/>
      <c r="AE64" s="675"/>
      <c r="AF64" s="675"/>
      <c r="AG64" s="675"/>
    </row>
    <row r="65" spans="2:33" s="421" customFormat="1">
      <c r="B65" s="423"/>
      <c r="C65" s="418"/>
      <c r="D65" s="466"/>
      <c r="E65" s="600"/>
      <c r="F65" s="467"/>
      <c r="G65" s="467"/>
      <c r="H65" s="492"/>
      <c r="I65" s="467"/>
      <c r="J65" s="680"/>
      <c r="K65" s="680"/>
      <c r="L65" s="675"/>
      <c r="M65" s="675"/>
      <c r="N65" s="675"/>
      <c r="O65" s="675"/>
      <c r="P65" s="675"/>
      <c r="Q65" s="675"/>
      <c r="R65" s="675"/>
      <c r="S65" s="675"/>
      <c r="T65" s="675"/>
      <c r="U65" s="675"/>
      <c r="V65" s="675"/>
      <c r="W65" s="675"/>
      <c r="X65" s="675"/>
      <c r="Y65" s="675"/>
      <c r="Z65" s="675"/>
      <c r="AA65" s="675"/>
      <c r="AB65" s="675"/>
      <c r="AC65" s="675"/>
      <c r="AD65" s="675"/>
      <c r="AE65" s="675"/>
      <c r="AF65" s="675"/>
      <c r="AG65" s="675"/>
    </row>
    <row r="66" spans="2:33" s="421" customFormat="1">
      <c r="B66" s="423"/>
      <c r="C66" s="418"/>
      <c r="D66" s="466"/>
      <c r="E66" s="600"/>
      <c r="F66" s="467"/>
      <c r="G66" s="467"/>
      <c r="H66" s="492"/>
      <c r="I66" s="467"/>
      <c r="J66" s="680"/>
      <c r="K66" s="680"/>
      <c r="L66" s="675"/>
      <c r="M66" s="675"/>
      <c r="N66" s="675"/>
      <c r="O66" s="675"/>
      <c r="P66" s="675"/>
      <c r="Q66" s="675"/>
      <c r="R66" s="675"/>
      <c r="S66" s="675"/>
      <c r="T66" s="675"/>
      <c r="U66" s="675"/>
      <c r="V66" s="675"/>
      <c r="W66" s="675"/>
      <c r="X66" s="675"/>
      <c r="Y66" s="675"/>
      <c r="Z66" s="675"/>
      <c r="AA66" s="675"/>
      <c r="AB66" s="675"/>
      <c r="AC66" s="675"/>
      <c r="AD66" s="675"/>
      <c r="AE66" s="675"/>
      <c r="AF66" s="675"/>
      <c r="AG66" s="675"/>
    </row>
    <row r="67" spans="2:33" s="421" customFormat="1">
      <c r="B67" s="423"/>
      <c r="C67" s="418"/>
      <c r="D67" s="466"/>
      <c r="E67" s="600"/>
      <c r="F67" s="467"/>
      <c r="G67" s="467"/>
      <c r="H67" s="492"/>
      <c r="I67" s="467"/>
      <c r="J67" s="680"/>
      <c r="K67" s="680"/>
      <c r="L67" s="675"/>
      <c r="M67" s="675"/>
      <c r="N67" s="675"/>
      <c r="O67" s="675"/>
      <c r="P67" s="675"/>
      <c r="Q67" s="675"/>
      <c r="R67" s="675"/>
      <c r="S67" s="675"/>
      <c r="T67" s="675"/>
      <c r="U67" s="675"/>
      <c r="V67" s="675"/>
      <c r="W67" s="675"/>
      <c r="X67" s="675"/>
      <c r="Y67" s="675"/>
      <c r="Z67" s="675"/>
      <c r="AA67" s="675"/>
      <c r="AB67" s="675"/>
      <c r="AC67" s="675"/>
      <c r="AD67" s="675"/>
      <c r="AE67" s="675"/>
      <c r="AF67" s="675"/>
      <c r="AG67" s="675"/>
    </row>
  </sheetData>
  <dataConsolidate/>
  <mergeCells count="28">
    <mergeCell ref="E60:F60"/>
    <mergeCell ref="E61:F61"/>
    <mergeCell ref="L2:M2"/>
    <mergeCell ref="N2:O2"/>
    <mergeCell ref="P2:Q2"/>
    <mergeCell ref="AB2:AC2"/>
    <mergeCell ref="AD2:AE2"/>
    <mergeCell ref="AF2:AG2"/>
    <mergeCell ref="J2:K2"/>
    <mergeCell ref="A4:D4"/>
    <mergeCell ref="R2:S2"/>
    <mergeCell ref="V2:W2"/>
    <mergeCell ref="T2:U2"/>
    <mergeCell ref="X2:Y2"/>
    <mergeCell ref="Z2:AA2"/>
    <mergeCell ref="A5:B5"/>
    <mergeCell ref="A14:D14"/>
    <mergeCell ref="A59:B59"/>
    <mergeCell ref="F2:F3"/>
    <mergeCell ref="A1:I1"/>
    <mergeCell ref="A2:A3"/>
    <mergeCell ref="B2:B3"/>
    <mergeCell ref="C2:C3"/>
    <mergeCell ref="D2:D3"/>
    <mergeCell ref="E2:E3"/>
    <mergeCell ref="I2:I3"/>
    <mergeCell ref="H2:H3"/>
    <mergeCell ref="G2:G3"/>
  </mergeCells>
  <printOptions horizontalCentered="1"/>
  <pageMargins left="0.27" right="0.17" top="0.83" bottom="7.874015748031496E-2" header="0.67" footer="0.31496062992125984"/>
  <pageSetup paperSize="9" scale="69" fitToHeight="0" orientation="landscape" r:id="rId1"/>
  <headerFooter scaleWithDoc="0"/>
  <rowBreaks count="1" manualBreakCount="1">
    <brk id="2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G59"/>
  <sheetViews>
    <sheetView view="pageBreakPreview" zoomScale="60" zoomScaleNormal="99" workbookViewId="0">
      <pane xSplit="6" ySplit="3" topLeftCell="G50" activePane="bottomRight" state="frozen"/>
      <selection pane="topRight" activeCell="G1" sqref="G1"/>
      <selection pane="bottomLeft" activeCell="A4" sqref="A4"/>
      <selection pane="bottomRight" activeCell="AO68" sqref="AO68"/>
    </sheetView>
  </sheetViews>
  <sheetFormatPr defaultColWidth="9" defaultRowHeight="23.25" outlineLevelCol="1"/>
  <cols>
    <col min="1" max="1" width="9.5703125" style="386" bestFit="1" customWidth="1"/>
    <col min="2" max="2" width="75.5703125" style="424" customWidth="1"/>
    <col min="3" max="3" width="18.42578125" style="394" customWidth="1"/>
    <col min="4" max="4" width="17.5703125" style="468" hidden="1" customWidth="1" outlineLevel="1"/>
    <col min="5" max="5" width="16.42578125" style="468" hidden="1" customWidth="1" outlineLevel="1"/>
    <col min="6" max="6" width="18.42578125" style="468" customWidth="1" collapsed="1"/>
    <col min="7" max="7" width="18.42578125" style="468" customWidth="1"/>
    <col min="8" max="8" width="18.42578125" style="601" customWidth="1"/>
    <col min="9" max="9" width="18.42578125" style="468" customWidth="1"/>
    <col min="10" max="23" width="17.85546875" style="387" hidden="1" customWidth="1"/>
    <col min="24" max="26" width="17.85546875" style="675" hidden="1" customWidth="1"/>
    <col min="27" max="27" width="17.85546875" style="387" hidden="1" customWidth="1"/>
    <col min="28" max="33" width="17.85546875" style="675" hidden="1" customWidth="1"/>
    <col min="34" max="16384" width="9" style="386"/>
  </cols>
  <sheetData>
    <row r="1" spans="1:33" ht="27.75" customHeight="1">
      <c r="A1" s="781"/>
      <c r="B1" s="781"/>
      <c r="C1" s="781"/>
      <c r="D1" s="781"/>
      <c r="E1" s="781"/>
      <c r="F1" s="781"/>
      <c r="G1" s="781"/>
      <c r="H1" s="781"/>
      <c r="I1" s="781"/>
    </row>
    <row r="2" spans="1:33" s="388" customFormat="1" ht="28.5" customHeight="1">
      <c r="A2" s="769" t="s">
        <v>358</v>
      </c>
      <c r="B2" s="769" t="s">
        <v>359</v>
      </c>
      <c r="C2" s="769" t="s">
        <v>360</v>
      </c>
      <c r="D2" s="772" t="s">
        <v>2</v>
      </c>
      <c r="E2" s="772" t="s">
        <v>3</v>
      </c>
      <c r="F2" s="773" t="s">
        <v>413</v>
      </c>
      <c r="G2" s="768" t="s">
        <v>96</v>
      </c>
      <c r="H2" s="770" t="s">
        <v>99</v>
      </c>
      <c r="I2" s="768" t="s">
        <v>416</v>
      </c>
      <c r="J2" s="779">
        <v>22190</v>
      </c>
      <c r="K2" s="779"/>
      <c r="L2" s="779">
        <v>22221</v>
      </c>
      <c r="M2" s="779"/>
      <c r="N2" s="779">
        <v>22251</v>
      </c>
      <c r="O2" s="779"/>
      <c r="P2" s="779">
        <v>22282</v>
      </c>
      <c r="Q2" s="779"/>
      <c r="R2" s="779">
        <v>22313</v>
      </c>
      <c r="S2" s="779"/>
      <c r="T2" s="779">
        <v>22341</v>
      </c>
      <c r="U2" s="779"/>
      <c r="V2" s="779">
        <v>22372</v>
      </c>
      <c r="W2" s="779"/>
      <c r="X2" s="779">
        <v>22402</v>
      </c>
      <c r="Y2" s="779"/>
      <c r="Z2" s="779">
        <v>22433</v>
      </c>
      <c r="AA2" s="779"/>
      <c r="AB2" s="779">
        <v>22463</v>
      </c>
      <c r="AC2" s="779"/>
      <c r="AD2" s="779">
        <v>22494</v>
      </c>
      <c r="AE2" s="779"/>
      <c r="AF2" s="779">
        <v>22525</v>
      </c>
      <c r="AG2" s="779"/>
    </row>
    <row r="3" spans="1:33" s="388" customFormat="1" ht="21" customHeight="1">
      <c r="A3" s="769"/>
      <c r="B3" s="769"/>
      <c r="C3" s="769"/>
      <c r="D3" s="772"/>
      <c r="E3" s="772"/>
      <c r="F3" s="774"/>
      <c r="G3" s="768"/>
      <c r="H3" s="771"/>
      <c r="I3" s="768"/>
      <c r="J3" s="509" t="s">
        <v>2</v>
      </c>
      <c r="K3" s="509" t="s">
        <v>3</v>
      </c>
      <c r="L3" s="509" t="s">
        <v>2</v>
      </c>
      <c r="M3" s="509" t="s">
        <v>3</v>
      </c>
      <c r="N3" s="509" t="s">
        <v>2</v>
      </c>
      <c r="O3" s="509" t="s">
        <v>3</v>
      </c>
      <c r="P3" s="509" t="s">
        <v>2</v>
      </c>
      <c r="Q3" s="509" t="s">
        <v>3</v>
      </c>
      <c r="R3" s="509" t="s">
        <v>2</v>
      </c>
      <c r="S3" s="509" t="s">
        <v>3</v>
      </c>
      <c r="T3" s="509" t="s">
        <v>2</v>
      </c>
      <c r="U3" s="509" t="s">
        <v>3</v>
      </c>
      <c r="V3" s="509" t="s">
        <v>2</v>
      </c>
      <c r="W3" s="509" t="s">
        <v>3</v>
      </c>
      <c r="X3" s="676" t="s">
        <v>2</v>
      </c>
      <c r="Y3" s="676" t="s">
        <v>3</v>
      </c>
      <c r="Z3" s="676" t="s">
        <v>2</v>
      </c>
      <c r="AA3" s="509" t="s">
        <v>3</v>
      </c>
      <c r="AB3" s="676" t="s">
        <v>2</v>
      </c>
      <c r="AC3" s="676" t="s">
        <v>3</v>
      </c>
      <c r="AD3" s="676" t="s">
        <v>2</v>
      </c>
      <c r="AE3" s="676" t="s">
        <v>3</v>
      </c>
      <c r="AF3" s="676" t="s">
        <v>2</v>
      </c>
      <c r="AG3" s="676" t="s">
        <v>3</v>
      </c>
    </row>
    <row r="4" spans="1:33" s="388" customFormat="1">
      <c r="A4" s="785" t="s">
        <v>119</v>
      </c>
      <c r="B4" s="785"/>
      <c r="C4" s="785"/>
      <c r="D4" s="785"/>
      <c r="E4" s="458"/>
      <c r="F4" s="458"/>
      <c r="G4" s="458"/>
      <c r="H4" s="495"/>
      <c r="I4" s="458"/>
      <c r="J4" s="509"/>
      <c r="K4" s="509"/>
      <c r="L4" s="509"/>
      <c r="M4" s="509"/>
      <c r="N4" s="509"/>
      <c r="O4" s="509"/>
      <c r="P4" s="509"/>
      <c r="Q4" s="509"/>
      <c r="R4" s="509"/>
      <c r="S4" s="509"/>
      <c r="T4" s="509"/>
      <c r="U4" s="509"/>
      <c r="V4" s="509"/>
      <c r="W4" s="509"/>
      <c r="X4" s="676"/>
      <c r="Y4" s="676"/>
      <c r="Z4" s="676"/>
      <c r="AA4" s="509"/>
      <c r="AB4" s="676"/>
      <c r="AC4" s="676"/>
      <c r="AD4" s="676"/>
      <c r="AE4" s="676"/>
      <c r="AF4" s="676"/>
      <c r="AG4" s="676"/>
    </row>
    <row r="5" spans="1:33" s="388" customFormat="1" ht="30.75" customHeight="1">
      <c r="A5" s="786" t="s">
        <v>80</v>
      </c>
      <c r="B5" s="786"/>
      <c r="C5" s="390"/>
      <c r="D5" s="458"/>
      <c r="E5" s="458"/>
      <c r="F5" s="458"/>
      <c r="G5" s="458"/>
      <c r="H5" s="495"/>
      <c r="I5" s="458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677"/>
      <c r="Y5" s="677"/>
      <c r="Z5" s="677"/>
      <c r="AA5" s="510"/>
      <c r="AB5" s="677"/>
      <c r="AC5" s="677"/>
      <c r="AD5" s="677"/>
      <c r="AE5" s="677"/>
      <c r="AF5" s="677"/>
      <c r="AG5" s="677"/>
    </row>
    <row r="6" spans="1:33" ht="46.5">
      <c r="A6" s="391">
        <v>10</v>
      </c>
      <c r="B6" s="392" t="s">
        <v>91</v>
      </c>
      <c r="C6" s="401"/>
      <c r="D6" s="462">
        <f>D11+D12+D14+D13+D15+D16+D17+D18+D19+D20</f>
        <v>25510100</v>
      </c>
      <c r="E6" s="458">
        <f>E8+E9+E11</f>
        <v>23010100</v>
      </c>
      <c r="F6" s="458">
        <f>F8+F9+F11+F12+F13+F14+F15+F16+F17+F18+F19+F20</f>
        <v>48520200</v>
      </c>
      <c r="G6" s="458">
        <f t="shared" ref="G6:I6" si="0">G8+G9+G11+G12+G13+G14+G15+G16+G17+G18+G19+G20</f>
        <v>37086167.629999995</v>
      </c>
      <c r="H6" s="458">
        <f t="shared" si="0"/>
        <v>8641183.6700000018</v>
      </c>
      <c r="I6" s="458">
        <f t="shared" si="0"/>
        <v>2792848.6999999993</v>
      </c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677"/>
      <c r="Y6" s="677"/>
      <c r="Z6" s="677"/>
      <c r="AA6" s="510"/>
      <c r="AB6" s="677"/>
      <c r="AC6" s="677"/>
      <c r="AD6" s="677"/>
      <c r="AE6" s="677"/>
      <c r="AF6" s="677"/>
      <c r="AG6" s="677"/>
    </row>
    <row r="7" spans="1:33">
      <c r="A7" s="396"/>
      <c r="B7" s="440" t="s">
        <v>20</v>
      </c>
      <c r="C7" s="398"/>
      <c r="D7" s="451"/>
      <c r="E7" s="426"/>
      <c r="F7" s="426"/>
      <c r="G7" s="426"/>
      <c r="H7" s="519"/>
      <c r="I7" s="426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518"/>
      <c r="Y7" s="518"/>
      <c r="Z7" s="518"/>
      <c r="AA7" s="399"/>
      <c r="AB7" s="518"/>
      <c r="AC7" s="518"/>
      <c r="AD7" s="518"/>
      <c r="AE7" s="518"/>
      <c r="AF7" s="518"/>
      <c r="AG7" s="518"/>
    </row>
    <row r="8" spans="1:33" s="403" customFormat="1" ht="46.5">
      <c r="A8" s="407"/>
      <c r="B8" s="405" t="s">
        <v>387</v>
      </c>
      <c r="C8" s="406" t="s">
        <v>21</v>
      </c>
      <c r="D8" s="428"/>
      <c r="E8" s="449">
        <v>17605100</v>
      </c>
      <c r="F8" s="455">
        <v>17605100</v>
      </c>
      <c r="G8" s="455">
        <f>'ติดตาม งบปี61 จังหวัด (ผ.อ) '!I108</f>
        <v>8045721.4399999995</v>
      </c>
      <c r="H8" s="497">
        <f>F8-G8-I8</f>
        <v>8246273.4400000013</v>
      </c>
      <c r="I8" s="455">
        <v>1313105.1199999992</v>
      </c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519"/>
      <c r="Y8" s="519"/>
      <c r="Z8" s="519"/>
      <c r="AA8" s="519">
        <v>499986.27</v>
      </c>
      <c r="AB8" s="519"/>
      <c r="AC8" s="519">
        <v>2367001.29</v>
      </c>
      <c r="AD8" s="519"/>
      <c r="AE8" s="519"/>
      <c r="AF8" s="519"/>
      <c r="AG8" s="519">
        <v>5178733.88</v>
      </c>
    </row>
    <row r="9" spans="1:33" s="403" customFormat="1">
      <c r="A9" s="407"/>
      <c r="B9" s="441" t="s">
        <v>388</v>
      </c>
      <c r="C9" s="406" t="s">
        <v>22</v>
      </c>
      <c r="D9" s="449"/>
      <c r="E9" s="455">
        <v>4900000</v>
      </c>
      <c r="F9" s="455">
        <f>E9</f>
        <v>4900000</v>
      </c>
      <c r="G9" s="455">
        <v>4235477.42</v>
      </c>
      <c r="H9" s="497">
        <f>F9-G9-I9</f>
        <v>0</v>
      </c>
      <c r="I9" s="455">
        <v>664522.57999999996</v>
      </c>
      <c r="J9" s="399"/>
      <c r="K9" s="511"/>
      <c r="L9" s="399"/>
      <c r="M9" s="511"/>
      <c r="N9" s="399"/>
      <c r="O9" s="511"/>
      <c r="P9" s="399"/>
      <c r="Q9" s="511"/>
      <c r="R9" s="399"/>
      <c r="S9" s="511"/>
      <c r="T9" s="399"/>
      <c r="U9" s="511"/>
      <c r="V9" s="399"/>
      <c r="W9" s="511"/>
      <c r="X9" s="518"/>
      <c r="Y9" s="518"/>
      <c r="Z9" s="518"/>
      <c r="AA9" s="511"/>
      <c r="AB9" s="518"/>
      <c r="AC9" s="518"/>
      <c r="AD9" s="518"/>
      <c r="AE9" s="518"/>
      <c r="AF9" s="518"/>
      <c r="AG9" s="518">
        <v>4235477.42</v>
      </c>
    </row>
    <row r="10" spans="1:33" ht="46.5">
      <c r="A10" s="442"/>
      <c r="B10" s="440" t="s">
        <v>23</v>
      </c>
      <c r="C10" s="398"/>
      <c r="D10" s="451"/>
      <c r="E10" s="478"/>
      <c r="F10" s="478"/>
      <c r="G10" s="478"/>
      <c r="H10" s="523"/>
      <c r="I10" s="478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96"/>
      <c r="Y10" s="496"/>
      <c r="Z10" s="496"/>
      <c r="AA10" s="402"/>
      <c r="AB10" s="496"/>
      <c r="AC10" s="496"/>
      <c r="AD10" s="496"/>
      <c r="AE10" s="496"/>
      <c r="AF10" s="496"/>
      <c r="AG10" s="496"/>
    </row>
    <row r="11" spans="1:33">
      <c r="A11" s="442"/>
      <c r="B11" s="443" t="s">
        <v>389</v>
      </c>
      <c r="C11" s="398" t="s">
        <v>39</v>
      </c>
      <c r="D11" s="452">
        <v>1403450</v>
      </c>
      <c r="E11" s="478">
        <v>505000</v>
      </c>
      <c r="F11" s="452">
        <f>D11+E11</f>
        <v>1908450</v>
      </c>
      <c r="G11" s="452">
        <f>'ติดตาม งบปี61 จังหวัด (ผ.อ) '!I83</f>
        <v>1512043.77</v>
      </c>
      <c r="H11" s="620">
        <f>F11-G11-I11</f>
        <v>394910.23</v>
      </c>
      <c r="I11" s="452">
        <v>1496</v>
      </c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518"/>
      <c r="Y11" s="518">
        <v>25000</v>
      </c>
      <c r="Z11" s="518">
        <f>430700+9660</f>
        <v>440360</v>
      </c>
      <c r="AA11" s="518">
        <v>478504</v>
      </c>
      <c r="AB11" s="518">
        <f>110000+159779.77</f>
        <v>269779.77</v>
      </c>
      <c r="AC11" s="518"/>
      <c r="AD11" s="518">
        <v>148000</v>
      </c>
      <c r="AE11" s="518"/>
      <c r="AF11" s="518">
        <f>80000+18000+52400</f>
        <v>150400</v>
      </c>
      <c r="AG11" s="518"/>
    </row>
    <row r="12" spans="1:33" s="419" customFormat="1">
      <c r="A12" s="442"/>
      <c r="B12" s="443" t="s">
        <v>390</v>
      </c>
      <c r="C12" s="398" t="s">
        <v>41</v>
      </c>
      <c r="D12" s="427">
        <v>9844350</v>
      </c>
      <c r="E12" s="478"/>
      <c r="F12" s="427">
        <v>9844350</v>
      </c>
      <c r="G12" s="427">
        <f>'ติดตาม งบปี61 จังหวัด (ผ.อ) '!I111</f>
        <v>9811400</v>
      </c>
      <c r="H12" s="573">
        <f>F12-G12-I12</f>
        <v>0</v>
      </c>
      <c r="I12" s="427">
        <v>32950</v>
      </c>
      <c r="J12" s="396"/>
      <c r="K12" s="396"/>
      <c r="L12" s="396"/>
      <c r="M12" s="396"/>
      <c r="N12" s="396"/>
      <c r="O12" s="396"/>
      <c r="P12" s="519">
        <v>9800000</v>
      </c>
      <c r="Q12" s="396"/>
      <c r="R12" s="519">
        <v>1800</v>
      </c>
      <c r="S12" s="396"/>
      <c r="T12" s="519">
        <f>4800+4800</f>
        <v>9600</v>
      </c>
      <c r="U12" s="396"/>
      <c r="V12" s="396"/>
      <c r="W12" s="396"/>
      <c r="X12" s="519"/>
      <c r="Y12" s="519"/>
      <c r="Z12" s="519"/>
      <c r="AA12" s="396"/>
      <c r="AB12" s="519"/>
      <c r="AC12" s="519"/>
      <c r="AD12" s="519"/>
      <c r="AE12" s="519"/>
      <c r="AF12" s="519"/>
      <c r="AG12" s="519"/>
    </row>
    <row r="13" spans="1:33" s="419" customFormat="1">
      <c r="A13" s="442"/>
      <c r="B13" s="443" t="s">
        <v>391</v>
      </c>
      <c r="C13" s="398" t="s">
        <v>41</v>
      </c>
      <c r="D13" s="427">
        <v>4894000</v>
      </c>
      <c r="E13" s="478"/>
      <c r="F13" s="427">
        <v>4894000</v>
      </c>
      <c r="G13" s="427">
        <f>'ติดตาม งบปี61 จังหวัด (ผ.อ) '!I113</f>
        <v>4191950</v>
      </c>
      <c r="H13" s="573">
        <f>F13-G13-I13</f>
        <v>0</v>
      </c>
      <c r="I13" s="427">
        <v>702050</v>
      </c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97"/>
      <c r="Y13" s="497"/>
      <c r="Z13" s="497"/>
      <c r="AA13" s="407"/>
      <c r="AB13" s="497"/>
      <c r="AC13" s="497"/>
      <c r="AD13" s="497"/>
      <c r="AE13" s="497"/>
      <c r="AF13" s="497">
        <v>4191950</v>
      </c>
      <c r="AG13" s="497"/>
    </row>
    <row r="14" spans="1:33">
      <c r="A14" s="442"/>
      <c r="B14" s="400" t="s">
        <v>433</v>
      </c>
      <c r="C14" s="398" t="s">
        <v>39</v>
      </c>
      <c r="D14" s="427">
        <v>2000000</v>
      </c>
      <c r="E14" s="478"/>
      <c r="F14" s="427">
        <v>2000000</v>
      </c>
      <c r="G14" s="427">
        <f>'ติดตาม งบปี61 จังหวัด (ผ.อ) '!I89</f>
        <v>1991260</v>
      </c>
      <c r="H14" s="573">
        <f>F14-G14-I14</f>
        <v>0</v>
      </c>
      <c r="I14" s="427">
        <f>F14-G14</f>
        <v>8740</v>
      </c>
      <c r="J14" s="402"/>
      <c r="K14" s="402"/>
      <c r="L14" s="402"/>
      <c r="M14" s="402"/>
      <c r="N14" s="402"/>
      <c r="O14" s="402"/>
      <c r="P14" s="496">
        <v>1200000</v>
      </c>
      <c r="Q14" s="402"/>
      <c r="R14" s="402"/>
      <c r="S14" s="402"/>
      <c r="T14" s="496">
        <v>791260</v>
      </c>
      <c r="U14" s="402"/>
      <c r="V14" s="402"/>
      <c r="W14" s="402"/>
      <c r="X14" s="496"/>
      <c r="Y14" s="496"/>
      <c r="Z14" s="496"/>
      <c r="AA14" s="402"/>
      <c r="AB14" s="496"/>
      <c r="AC14" s="496"/>
      <c r="AD14" s="496"/>
      <c r="AE14" s="496"/>
      <c r="AF14" s="496"/>
      <c r="AG14" s="496"/>
    </row>
    <row r="15" spans="1:33">
      <c r="A15" s="442"/>
      <c r="B15" s="413" t="s">
        <v>434</v>
      </c>
      <c r="C15" s="414" t="s">
        <v>39</v>
      </c>
      <c r="D15" s="464">
        <v>890200</v>
      </c>
      <c r="E15" s="478"/>
      <c r="F15" s="464">
        <f t="shared" ref="F15:F20" si="1">D15</f>
        <v>890200</v>
      </c>
      <c r="G15" s="464">
        <f>'ติดตาม งบปี61 จังหวัด (ผ.อ) '!I104</f>
        <v>889130</v>
      </c>
      <c r="H15" s="517">
        <f>F15-G15-I15</f>
        <v>0</v>
      </c>
      <c r="I15" s="464">
        <v>1070</v>
      </c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96"/>
      <c r="Y15" s="496"/>
      <c r="Z15" s="496">
        <v>838430</v>
      </c>
      <c r="AA15" s="402"/>
      <c r="AB15" s="496"/>
      <c r="AC15" s="496"/>
      <c r="AD15" s="496"/>
      <c r="AE15" s="496"/>
      <c r="AF15" s="496">
        <f>22200+16000+12500</f>
        <v>50700</v>
      </c>
      <c r="AG15" s="496"/>
    </row>
    <row r="16" spans="1:33">
      <c r="A16" s="442"/>
      <c r="B16" s="413" t="s">
        <v>432</v>
      </c>
      <c r="C16" s="398" t="s">
        <v>41</v>
      </c>
      <c r="D16" s="464">
        <v>5000000</v>
      </c>
      <c r="E16" s="478"/>
      <c r="F16" s="464">
        <f t="shared" si="1"/>
        <v>5000000</v>
      </c>
      <c r="G16" s="464">
        <f>'ติดตาม งบปี61 จังหวัด (ผ.อ) '!I115</f>
        <v>5000000</v>
      </c>
      <c r="H16" s="517">
        <f>F16-G16</f>
        <v>0</v>
      </c>
      <c r="I16" s="464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96"/>
      <c r="Y16" s="496"/>
      <c r="Z16" s="496"/>
      <c r="AA16" s="402"/>
      <c r="AB16" s="496"/>
      <c r="AC16" s="496"/>
      <c r="AD16" s="496">
        <v>5000000</v>
      </c>
      <c r="AE16" s="496"/>
      <c r="AG16" s="496"/>
    </row>
    <row r="17" spans="1:33" s="403" customFormat="1" ht="30" customHeight="1">
      <c r="A17" s="407"/>
      <c r="B17" s="433" t="s">
        <v>539</v>
      </c>
      <c r="C17" s="406" t="s">
        <v>41</v>
      </c>
      <c r="D17" s="463">
        <v>200000</v>
      </c>
      <c r="E17" s="455"/>
      <c r="F17" s="463">
        <f t="shared" si="1"/>
        <v>200000</v>
      </c>
      <c r="G17" s="463">
        <f>'ติดตาม งบปี61 จังหวัด (ผ.อ) '!I117</f>
        <v>195000</v>
      </c>
      <c r="H17" s="526">
        <f>F17-G17-I17</f>
        <v>0</v>
      </c>
      <c r="I17" s="463">
        <v>5000</v>
      </c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  <c r="W17" s="402"/>
      <c r="X17" s="496"/>
      <c r="Y17" s="496"/>
      <c r="Z17" s="496"/>
      <c r="AA17" s="402"/>
      <c r="AB17" s="496"/>
      <c r="AC17" s="496"/>
      <c r="AD17" s="496"/>
      <c r="AE17" s="496"/>
      <c r="AF17" s="496">
        <v>195000</v>
      </c>
      <c r="AG17" s="496"/>
    </row>
    <row r="18" spans="1:33" s="403" customFormat="1">
      <c r="A18" s="402"/>
      <c r="B18" s="407" t="s">
        <v>435</v>
      </c>
      <c r="C18" s="406" t="s">
        <v>436</v>
      </c>
      <c r="D18" s="454">
        <v>700400</v>
      </c>
      <c r="E18" s="456"/>
      <c r="F18" s="455">
        <f t="shared" si="1"/>
        <v>700400</v>
      </c>
      <c r="G18" s="456">
        <v>669001</v>
      </c>
      <c r="H18" s="496">
        <f>F18-G18-I18</f>
        <v>0</v>
      </c>
      <c r="I18" s="456">
        <v>31399</v>
      </c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96">
        <v>94900</v>
      </c>
      <c r="W18" s="402"/>
      <c r="X18" s="496">
        <f>97300+35000+31900+25090+189800</f>
        <v>379090</v>
      </c>
      <c r="Y18" s="496"/>
      <c r="Z18" s="496">
        <v>100000</v>
      </c>
      <c r="AA18" s="402"/>
      <c r="AB18" s="496">
        <f>31900+31900+3000+3000+3000+3000</f>
        <v>75800</v>
      </c>
      <c r="AC18" s="496"/>
      <c r="AD18" s="496"/>
      <c r="AE18" s="496"/>
      <c r="AF18" s="496">
        <f>16000+3211</f>
        <v>19211</v>
      </c>
      <c r="AG18" s="496"/>
    </row>
    <row r="19" spans="1:33" s="403" customFormat="1" ht="46.5">
      <c r="A19" s="407"/>
      <c r="B19" s="441" t="s">
        <v>562</v>
      </c>
      <c r="C19" s="406" t="s">
        <v>436</v>
      </c>
      <c r="D19" s="454">
        <v>350200</v>
      </c>
      <c r="E19" s="455"/>
      <c r="F19" s="455">
        <f t="shared" si="1"/>
        <v>350200</v>
      </c>
      <c r="G19" s="455">
        <f>'ติดตาม งบปี61 จังหวัด (ผ.อ) '!I124</f>
        <v>343814</v>
      </c>
      <c r="H19" s="497">
        <f>F19-G19-I19</f>
        <v>0</v>
      </c>
      <c r="I19" s="455">
        <v>6386</v>
      </c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96"/>
      <c r="W19" s="402"/>
      <c r="X19" s="496"/>
      <c r="Y19" s="496"/>
      <c r="Z19" s="496">
        <v>199400</v>
      </c>
      <c r="AA19" s="402"/>
      <c r="AB19" s="496"/>
      <c r="AC19" s="496"/>
      <c r="AD19" s="496">
        <f>31900+31900+16614+50000+3000+3000</f>
        <v>136414</v>
      </c>
      <c r="AE19" s="496"/>
      <c r="AF19" s="496">
        <f>8000</f>
        <v>8000</v>
      </c>
      <c r="AG19" s="496"/>
    </row>
    <row r="20" spans="1:33" s="403" customFormat="1" ht="46.5">
      <c r="A20" s="407"/>
      <c r="B20" s="441" t="s">
        <v>563</v>
      </c>
      <c r="C20" s="406" t="s">
        <v>436</v>
      </c>
      <c r="D20" s="454">
        <v>227500</v>
      </c>
      <c r="E20" s="455"/>
      <c r="F20" s="455">
        <f t="shared" si="1"/>
        <v>227500</v>
      </c>
      <c r="G20" s="455">
        <v>201370</v>
      </c>
      <c r="H20" s="497">
        <f>F20-G20-I20</f>
        <v>0</v>
      </c>
      <c r="I20" s="455">
        <v>26130</v>
      </c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96"/>
      <c r="W20" s="402"/>
      <c r="X20" s="496"/>
      <c r="Y20" s="496"/>
      <c r="Z20" s="496"/>
      <c r="AA20" s="402"/>
      <c r="AB20" s="496"/>
      <c r="AC20" s="496"/>
      <c r="AD20" s="496">
        <v>99700</v>
      </c>
      <c r="AE20" s="496"/>
      <c r="AF20" s="496">
        <f>31900+19770+3000+9000+25000+3000+10000</f>
        <v>101670</v>
      </c>
      <c r="AG20" s="496"/>
    </row>
    <row r="21" spans="1:33" ht="46.5">
      <c r="A21" s="391">
        <v>11</v>
      </c>
      <c r="B21" s="392" t="s">
        <v>43</v>
      </c>
      <c r="C21" s="401"/>
      <c r="D21" s="462">
        <f>D23+D24+D25+D26+D27</f>
        <v>6000000</v>
      </c>
      <c r="E21" s="462"/>
      <c r="F21" s="462">
        <f>F23+F24+F25+F26+F27</f>
        <v>6000000</v>
      </c>
      <c r="G21" s="462">
        <f>G23+G24+G25+G26+G27</f>
        <v>2053842</v>
      </c>
      <c r="H21" s="596">
        <f>H23+H24+H25+H26+H27</f>
        <v>3733700</v>
      </c>
      <c r="I21" s="462">
        <f>I23+I24+I25+I26+I27</f>
        <v>212458</v>
      </c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96"/>
      <c r="Y21" s="496"/>
      <c r="Z21" s="496"/>
      <c r="AA21" s="402"/>
      <c r="AB21" s="496"/>
      <c r="AC21" s="496"/>
      <c r="AD21" s="496"/>
      <c r="AE21" s="496"/>
      <c r="AF21" s="496"/>
      <c r="AG21" s="496"/>
    </row>
    <row r="22" spans="1:33">
      <c r="A22" s="396"/>
      <c r="B22" s="397" t="s">
        <v>44</v>
      </c>
      <c r="C22" s="398"/>
      <c r="D22" s="451"/>
      <c r="E22" s="426"/>
      <c r="F22" s="426"/>
      <c r="G22" s="426"/>
      <c r="H22" s="519"/>
      <c r="I22" s="426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96"/>
      <c r="Y22" s="496"/>
      <c r="Z22" s="496"/>
      <c r="AA22" s="402"/>
      <c r="AB22" s="496"/>
      <c r="AC22" s="496"/>
      <c r="AD22" s="496"/>
      <c r="AE22" s="496"/>
      <c r="AF22" s="496"/>
      <c r="AG22" s="496"/>
    </row>
    <row r="23" spans="1:33" s="403" customFormat="1" ht="46.5">
      <c r="A23" s="407"/>
      <c r="B23" s="441" t="s">
        <v>392</v>
      </c>
      <c r="C23" s="406" t="s">
        <v>49</v>
      </c>
      <c r="D23" s="449">
        <v>2000000</v>
      </c>
      <c r="E23" s="455" t="s">
        <v>377</v>
      </c>
      <c r="F23" s="449">
        <v>2000000</v>
      </c>
      <c r="G23" s="449">
        <f>'ติดตาม งบปี61 จังหวัด (ผ.อ) '!I51</f>
        <v>1787542</v>
      </c>
      <c r="H23" s="597">
        <f>F23-G23-I23</f>
        <v>0</v>
      </c>
      <c r="I23" s="449">
        <v>212458</v>
      </c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519"/>
      <c r="Y23" s="519"/>
      <c r="Z23" s="519">
        <v>893771</v>
      </c>
      <c r="AA23" s="396"/>
      <c r="AB23" s="519"/>
      <c r="AC23" s="519"/>
      <c r="AD23" s="519">
        <v>893771</v>
      </c>
      <c r="AE23" s="519"/>
      <c r="AF23" s="519"/>
      <c r="AG23" s="519"/>
    </row>
    <row r="24" spans="1:33" s="403" customFormat="1" ht="46.5">
      <c r="A24" s="407"/>
      <c r="B24" s="441" t="s">
        <v>393</v>
      </c>
      <c r="C24" s="406" t="s">
        <v>50</v>
      </c>
      <c r="D24" s="449">
        <v>2000000</v>
      </c>
      <c r="E24" s="455" t="s">
        <v>377</v>
      </c>
      <c r="F24" s="449">
        <v>2000000</v>
      </c>
      <c r="G24" s="449">
        <f>'ติดตาม งบปี61 จังหวัด (ผ.อ) '!I128</f>
        <v>266300</v>
      </c>
      <c r="H24" s="597">
        <f>F24-G24</f>
        <v>1733700</v>
      </c>
      <c r="I24" s="449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519">
        <f>40000+10000+4650+4650</f>
        <v>59300</v>
      </c>
      <c r="Y24" s="519"/>
      <c r="Z24" s="519"/>
      <c r="AA24" s="396"/>
      <c r="AB24" s="519"/>
      <c r="AC24" s="519"/>
      <c r="AD24" s="519"/>
      <c r="AE24" s="519"/>
      <c r="AF24" s="519">
        <f>187000+20000</f>
        <v>207000</v>
      </c>
      <c r="AG24" s="519"/>
    </row>
    <row r="25" spans="1:33" s="403" customFormat="1" ht="46.5">
      <c r="A25" s="407"/>
      <c r="B25" s="441" t="s">
        <v>514</v>
      </c>
      <c r="C25" s="406" t="s">
        <v>383</v>
      </c>
      <c r="D25" s="449">
        <v>500000</v>
      </c>
      <c r="E25" s="455"/>
      <c r="F25" s="449">
        <v>500000</v>
      </c>
      <c r="G25" s="449">
        <f>'ติดตาม งบปี61 จังหวัด (ผ.อ) '!I299</f>
        <v>0</v>
      </c>
      <c r="H25" s="597">
        <f>F25-G25</f>
        <v>500000</v>
      </c>
      <c r="I25" s="449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519"/>
      <c r="Y25" s="519"/>
      <c r="Z25" s="519"/>
      <c r="AA25" s="396"/>
      <c r="AB25" s="519"/>
      <c r="AC25" s="519"/>
      <c r="AD25" s="519"/>
      <c r="AE25" s="519"/>
      <c r="AF25" s="519"/>
      <c r="AG25" s="519"/>
    </row>
    <row r="26" spans="1:33" s="403" customFormat="1" ht="46.5">
      <c r="A26" s="407"/>
      <c r="B26" s="441" t="s">
        <v>515</v>
      </c>
      <c r="C26" s="406" t="s">
        <v>383</v>
      </c>
      <c r="D26" s="449">
        <v>700000</v>
      </c>
      <c r="E26" s="455"/>
      <c r="F26" s="449">
        <v>700000</v>
      </c>
      <c r="G26" s="449">
        <f>'ติดตาม งบปี61 จังหวัด (ผ.อ) '!I301</f>
        <v>0</v>
      </c>
      <c r="H26" s="597">
        <f>F26-G26</f>
        <v>700000</v>
      </c>
      <c r="I26" s="449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519"/>
      <c r="Y26" s="519"/>
      <c r="Z26" s="519"/>
      <c r="AA26" s="396"/>
      <c r="AB26" s="519"/>
      <c r="AC26" s="519"/>
      <c r="AD26" s="519"/>
      <c r="AE26" s="519"/>
      <c r="AF26" s="519"/>
      <c r="AG26" s="519"/>
    </row>
    <row r="27" spans="1:33" s="403" customFormat="1" ht="46.5">
      <c r="A27" s="407"/>
      <c r="B27" s="441" t="s">
        <v>516</v>
      </c>
      <c r="C27" s="406" t="s">
        <v>383</v>
      </c>
      <c r="D27" s="449">
        <v>800000</v>
      </c>
      <c r="E27" s="455"/>
      <c r="F27" s="449">
        <v>800000</v>
      </c>
      <c r="G27" s="449">
        <f>'ติดตาม งบปี61 จังหวัด (ผ.อ) '!I303</f>
        <v>0</v>
      </c>
      <c r="H27" s="597">
        <f>F27-G27</f>
        <v>800000</v>
      </c>
      <c r="I27" s="449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519"/>
      <c r="Y27" s="519"/>
      <c r="Z27" s="519"/>
      <c r="AA27" s="396"/>
      <c r="AB27" s="519"/>
      <c r="AC27" s="519"/>
      <c r="AD27" s="519"/>
      <c r="AE27" s="519"/>
      <c r="AF27" s="519"/>
      <c r="AG27" s="519"/>
    </row>
    <row r="28" spans="1:33" s="403" customFormat="1" ht="46.5">
      <c r="A28" s="504">
        <v>12</v>
      </c>
      <c r="B28" s="505" t="s">
        <v>51</v>
      </c>
      <c r="C28" s="506"/>
      <c r="D28" s="507">
        <f>D30+D31+D32+D33+D34+D35+D36+D37</f>
        <v>8053730</v>
      </c>
      <c r="E28" s="508">
        <f>E30+E31+E32+E33+E34+E35+E36+E38</f>
        <v>6320120</v>
      </c>
      <c r="F28" s="508">
        <f>F30+F32+F33+F34+F35+F36+F31+F37+F38</f>
        <v>14373850</v>
      </c>
      <c r="G28" s="508">
        <f t="shared" ref="G28:I28" si="2">G30+G32+G33+G34+G35+G36+G31+G37+G38</f>
        <v>7524675.25</v>
      </c>
      <c r="H28" s="508">
        <f t="shared" si="2"/>
        <v>5120104</v>
      </c>
      <c r="I28" s="508">
        <f t="shared" si="2"/>
        <v>1729070.75</v>
      </c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520"/>
      <c r="Y28" s="520"/>
      <c r="Z28" s="520"/>
      <c r="AA28" s="408"/>
      <c r="AB28" s="520"/>
      <c r="AC28" s="520"/>
      <c r="AD28" s="520"/>
      <c r="AE28" s="520"/>
      <c r="AF28" s="520"/>
      <c r="AG28" s="520"/>
    </row>
    <row r="29" spans="1:33" ht="46.5">
      <c r="A29" s="396"/>
      <c r="B29" s="397" t="s">
        <v>52</v>
      </c>
      <c r="C29" s="398"/>
      <c r="D29" s="451"/>
      <c r="E29" s="426"/>
      <c r="F29" s="479"/>
      <c r="G29" s="479"/>
      <c r="H29" s="621"/>
      <c r="I29" s="426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518"/>
      <c r="Y29" s="518"/>
      <c r="Z29" s="518"/>
      <c r="AA29" s="399"/>
      <c r="AB29" s="518"/>
      <c r="AC29" s="518"/>
      <c r="AD29" s="518"/>
      <c r="AE29" s="518"/>
      <c r="AF29" s="518"/>
      <c r="AG29" s="518"/>
    </row>
    <row r="30" spans="1:33" s="403" customFormat="1">
      <c r="A30" s="444"/>
      <c r="B30" s="787" t="s">
        <v>394</v>
      </c>
      <c r="C30" s="406" t="s">
        <v>395</v>
      </c>
      <c r="D30" s="454">
        <v>510380</v>
      </c>
      <c r="E30" s="456">
        <v>420320</v>
      </c>
      <c r="F30" s="456">
        <f>D30+E30</f>
        <v>930700</v>
      </c>
      <c r="G30" s="456">
        <f>'ติดตาม งบปี61 จังหวัด (ผ.อ) '!I129</f>
        <v>930700</v>
      </c>
      <c r="H30" s="496">
        <f t="shared" ref="H30:H37" si="3">F30-G30</f>
        <v>0</v>
      </c>
      <c r="I30" s="456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520">
        <v>205000</v>
      </c>
      <c r="U30" s="408"/>
      <c r="V30" s="520">
        <f>305380</f>
        <v>305380</v>
      </c>
      <c r="W30" s="520">
        <v>420320</v>
      </c>
      <c r="X30" s="520"/>
      <c r="Y30" s="520"/>
      <c r="Z30" s="520"/>
      <c r="AA30" s="408"/>
      <c r="AB30" s="520"/>
      <c r="AC30" s="520"/>
      <c r="AD30" s="520"/>
      <c r="AE30" s="520"/>
      <c r="AF30" s="520"/>
      <c r="AG30" s="520"/>
    </row>
    <row r="31" spans="1:33" s="403" customFormat="1">
      <c r="A31" s="445"/>
      <c r="B31" s="788"/>
      <c r="C31" s="446" t="s">
        <v>396</v>
      </c>
      <c r="D31" s="480">
        <v>753900</v>
      </c>
      <c r="E31" s="481">
        <v>229800</v>
      </c>
      <c r="F31" s="482">
        <f>E31+D31</f>
        <v>983700</v>
      </c>
      <c r="G31" s="482">
        <f>'ติดตาม งบปี61 จังหวัด (ผ.อ) '!I145</f>
        <v>899700</v>
      </c>
      <c r="H31" s="622">
        <f>F31-G31-I31</f>
        <v>0</v>
      </c>
      <c r="I31" s="456">
        <v>84000</v>
      </c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519">
        <v>602900</v>
      </c>
      <c r="U31" s="396"/>
      <c r="V31" s="396"/>
      <c r="W31" s="519">
        <f>25000+20000+20000+2000</f>
        <v>67000</v>
      </c>
      <c r="X31" s="519"/>
      <c r="Y31" s="519"/>
      <c r="Z31" s="519"/>
      <c r="AA31" s="396"/>
      <c r="AB31" s="519"/>
      <c r="AC31" s="519"/>
      <c r="AD31" s="519"/>
      <c r="AE31" s="519">
        <f>11600+4900+80500+15600+38200+29700+46800+2500</f>
        <v>229800</v>
      </c>
      <c r="AF31" s="519"/>
      <c r="AG31" s="519"/>
    </row>
    <row r="32" spans="1:33">
      <c r="A32" s="442"/>
      <c r="B32" s="413" t="s">
        <v>397</v>
      </c>
      <c r="C32" s="414" t="s">
        <v>39</v>
      </c>
      <c r="D32" s="464">
        <v>1356500</v>
      </c>
      <c r="E32" s="478"/>
      <c r="F32" s="464">
        <v>1356500</v>
      </c>
      <c r="G32" s="464">
        <f>'ติดตาม งบปี61 จังหวัด (ผ.อ) '!I91</f>
        <v>37896</v>
      </c>
      <c r="H32" s="517">
        <f t="shared" si="3"/>
        <v>1318604</v>
      </c>
      <c r="I32" s="464"/>
      <c r="J32" s="442"/>
      <c r="K32" s="442"/>
      <c r="L32" s="442"/>
      <c r="M32" s="442"/>
      <c r="N32" s="442"/>
      <c r="O32" s="442"/>
      <c r="P32" s="442"/>
      <c r="Q32" s="442"/>
      <c r="R32" s="442"/>
      <c r="S32" s="442"/>
      <c r="T32" s="442"/>
      <c r="U32" s="442"/>
      <c r="V32" s="442"/>
      <c r="W32" s="442"/>
      <c r="X32" s="523"/>
      <c r="Y32" s="523"/>
      <c r="Z32" s="523"/>
      <c r="AA32" s="442"/>
      <c r="AB32" s="523"/>
      <c r="AC32" s="523"/>
      <c r="AD32" s="523"/>
      <c r="AE32" s="523"/>
      <c r="AF32" s="523">
        <f>16876+15000+6020</f>
        <v>37896</v>
      </c>
      <c r="AG32" s="523"/>
    </row>
    <row r="33" spans="1:33" s="615" customFormat="1" ht="46.5">
      <c r="A33" s="618" t="s">
        <v>561</v>
      </c>
      <c r="B33" s="611" t="s">
        <v>431</v>
      </c>
      <c r="C33" s="612" t="s">
        <v>16</v>
      </c>
      <c r="D33" s="616">
        <v>1545000</v>
      </c>
      <c r="E33" s="619">
        <v>1039500</v>
      </c>
      <c r="F33" s="619">
        <f>D33+E33</f>
        <v>2584500</v>
      </c>
      <c r="G33" s="619"/>
      <c r="H33" s="623">
        <f t="shared" si="3"/>
        <v>2584500</v>
      </c>
      <c r="I33" s="616"/>
      <c r="J33" s="604"/>
      <c r="K33" s="604"/>
      <c r="L33" s="604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39"/>
      <c r="Y33" s="639"/>
      <c r="Z33" s="639"/>
      <c r="AA33" s="604"/>
      <c r="AB33" s="639"/>
      <c r="AC33" s="639"/>
      <c r="AD33" s="639"/>
      <c r="AE33" s="639"/>
      <c r="AF33" s="639"/>
      <c r="AG33" s="639"/>
    </row>
    <row r="34" spans="1:33">
      <c r="A34" s="442"/>
      <c r="B34" s="413" t="s">
        <v>398</v>
      </c>
      <c r="C34" s="414" t="s">
        <v>39</v>
      </c>
      <c r="D34" s="464">
        <v>419000</v>
      </c>
      <c r="E34" s="478">
        <v>3560000</v>
      </c>
      <c r="F34" s="478">
        <f>D34+E34</f>
        <v>3979000</v>
      </c>
      <c r="G34" s="478">
        <f>'ติดตาม งบปี61 จังหวัด (ผ.อ) '!I97</f>
        <v>2545129.25</v>
      </c>
      <c r="H34" s="523">
        <f>F34-G34-I34</f>
        <v>0</v>
      </c>
      <c r="I34" s="478">
        <v>1433870.75</v>
      </c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517">
        <v>124000</v>
      </c>
      <c r="Y34" s="517"/>
      <c r="Z34" s="517"/>
      <c r="AA34" s="438"/>
      <c r="AB34" s="517">
        <v>100000</v>
      </c>
      <c r="AC34" s="517">
        <v>1618058.1</v>
      </c>
      <c r="AD34" s="517">
        <v>18750</v>
      </c>
      <c r="AE34" s="517"/>
      <c r="AF34" s="517">
        <f>3681.15+79600+66675+25000</f>
        <v>174956.15</v>
      </c>
      <c r="AG34" s="517">
        <f>509365</f>
        <v>509365</v>
      </c>
    </row>
    <row r="35" spans="1:33">
      <c r="A35" s="442"/>
      <c r="B35" s="413" t="s">
        <v>399</v>
      </c>
      <c r="C35" s="414" t="s">
        <v>39</v>
      </c>
      <c r="D35" s="464">
        <v>1678450</v>
      </c>
      <c r="E35" s="478"/>
      <c r="F35" s="478">
        <v>1678450</v>
      </c>
      <c r="G35" s="478">
        <f>'ติดตาม งบปี61 จังหวัด (ผ.อ) '!I93</f>
        <v>1676050</v>
      </c>
      <c r="H35" s="523">
        <f>F35-G35-I35</f>
        <v>0</v>
      </c>
      <c r="I35" s="478">
        <v>2400</v>
      </c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517">
        <f>498000+130000</f>
        <v>628000</v>
      </c>
      <c r="Y35" s="517"/>
      <c r="Z35" s="517"/>
      <c r="AA35" s="438"/>
      <c r="AB35" s="517">
        <f>599600+428450</f>
        <v>1028050</v>
      </c>
      <c r="AC35" s="517"/>
      <c r="AD35" s="517"/>
      <c r="AE35" s="517"/>
      <c r="AF35" s="517">
        <v>20000</v>
      </c>
      <c r="AG35" s="517"/>
    </row>
    <row r="36" spans="1:33">
      <c r="A36" s="442"/>
      <c r="B36" s="413" t="s">
        <v>400</v>
      </c>
      <c r="C36" s="414" t="s">
        <v>39</v>
      </c>
      <c r="D36" s="464">
        <v>290500</v>
      </c>
      <c r="E36" s="478">
        <v>80000</v>
      </c>
      <c r="F36" s="464">
        <f>D36+E36</f>
        <v>370500</v>
      </c>
      <c r="G36" s="464">
        <f>'ติดตาม งบปี61 จังหวัด (ผ.อ) '!I94</f>
        <v>337200</v>
      </c>
      <c r="H36" s="517">
        <f>F36-G36-I36</f>
        <v>0</v>
      </c>
      <c r="I36" s="464">
        <v>33300</v>
      </c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517"/>
      <c r="Y36" s="517"/>
      <c r="Z36" s="517">
        <f>222400+10000</f>
        <v>232400</v>
      </c>
      <c r="AA36" s="438"/>
      <c r="AB36" s="517"/>
      <c r="AC36" s="517">
        <v>80000</v>
      </c>
      <c r="AD36" s="517"/>
      <c r="AE36" s="517"/>
      <c r="AF36" s="517">
        <v>24800</v>
      </c>
      <c r="AG36" s="517"/>
    </row>
    <row r="37" spans="1:33">
      <c r="A37" s="442"/>
      <c r="B37" s="413" t="s">
        <v>430</v>
      </c>
      <c r="C37" s="414" t="s">
        <v>39</v>
      </c>
      <c r="D37" s="464">
        <v>1500000</v>
      </c>
      <c r="E37" s="478"/>
      <c r="F37" s="464">
        <f>D37</f>
        <v>1500000</v>
      </c>
      <c r="G37" s="464">
        <f>'ติดตาม งบปี61 จังหวัด (ผ.อ) '!I102</f>
        <v>1098000</v>
      </c>
      <c r="H37" s="517">
        <f t="shared" si="3"/>
        <v>402000</v>
      </c>
      <c r="I37" s="464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517"/>
      <c r="Y37" s="517"/>
      <c r="Z37" s="517"/>
      <c r="AA37" s="438"/>
      <c r="AB37" s="517"/>
      <c r="AC37" s="517"/>
      <c r="AD37" s="517">
        <v>1098000</v>
      </c>
      <c r="AE37" s="517"/>
      <c r="AF37" s="517"/>
      <c r="AG37" s="517"/>
    </row>
    <row r="38" spans="1:33" s="403" customFormat="1" ht="69.75">
      <c r="A38" s="407"/>
      <c r="B38" s="433" t="s">
        <v>572</v>
      </c>
      <c r="C38" s="410" t="s">
        <v>61</v>
      </c>
      <c r="E38" s="463">
        <v>990500</v>
      </c>
      <c r="F38" s="463">
        <f>E38</f>
        <v>990500</v>
      </c>
      <c r="G38" s="463">
        <f>'ติดตาม งบปี61 จังหวัด (ผ.อ) '!I103</f>
        <v>0</v>
      </c>
      <c r="H38" s="526">
        <f>F38-G38-I38</f>
        <v>815000</v>
      </c>
      <c r="I38" s="463">
        <v>175500</v>
      </c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526"/>
      <c r="Y38" s="526"/>
      <c r="Z38" s="526"/>
      <c r="AA38" s="439"/>
      <c r="AB38" s="526"/>
      <c r="AC38" s="526"/>
      <c r="AD38" s="526"/>
      <c r="AE38" s="526"/>
      <c r="AF38" s="526"/>
      <c r="AG38" s="526"/>
    </row>
    <row r="39" spans="1:33" ht="46.5">
      <c r="A39" s="391">
        <v>13</v>
      </c>
      <c r="B39" s="392" t="s">
        <v>45</v>
      </c>
      <c r="C39" s="393"/>
      <c r="D39" s="462">
        <f>D41+D42</f>
        <v>2788400</v>
      </c>
      <c r="E39" s="458"/>
      <c r="F39" s="458">
        <f>F41+F42</f>
        <v>2788400</v>
      </c>
      <c r="G39" s="458">
        <f>G41+G42</f>
        <v>2224105.2000000002</v>
      </c>
      <c r="H39" s="495">
        <f>H41+H42</f>
        <v>0</v>
      </c>
      <c r="I39" s="458">
        <f>I41</f>
        <v>0</v>
      </c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517"/>
      <c r="Y39" s="517"/>
      <c r="Z39" s="517"/>
      <c r="AA39" s="438"/>
      <c r="AB39" s="517"/>
      <c r="AC39" s="517"/>
      <c r="AD39" s="517"/>
      <c r="AE39" s="517"/>
      <c r="AF39" s="517"/>
      <c r="AG39" s="517"/>
    </row>
    <row r="40" spans="1:33">
      <c r="A40" s="396"/>
      <c r="B40" s="397" t="s">
        <v>46</v>
      </c>
      <c r="C40" s="398"/>
      <c r="D40" s="451"/>
      <c r="E40" s="426"/>
      <c r="F40" s="426"/>
      <c r="G40" s="426"/>
      <c r="H40" s="519"/>
      <c r="I40" s="426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517"/>
      <c r="Y40" s="517"/>
      <c r="Z40" s="517"/>
      <c r="AA40" s="438"/>
      <c r="AB40" s="517"/>
      <c r="AC40" s="517"/>
      <c r="AD40" s="517"/>
      <c r="AE40" s="517"/>
      <c r="AF40" s="517"/>
      <c r="AG40" s="517"/>
    </row>
    <row r="41" spans="1:33" s="403" customFormat="1" ht="46.5">
      <c r="A41" s="407"/>
      <c r="B41" s="405" t="s">
        <v>401</v>
      </c>
      <c r="C41" s="406" t="s">
        <v>402</v>
      </c>
      <c r="D41" s="449">
        <v>2338400</v>
      </c>
      <c r="E41" s="455"/>
      <c r="F41" s="449">
        <v>2338400</v>
      </c>
      <c r="G41" s="455">
        <f>'ติดตาม งบปี61 จังหวัด (ผ.อ) '!I53</f>
        <v>1774105.2</v>
      </c>
      <c r="H41" s="497">
        <f>F41-G41-I41-564294.8</f>
        <v>0</v>
      </c>
      <c r="I41" s="455"/>
      <c r="J41" s="439"/>
      <c r="K41" s="439"/>
      <c r="L41" s="526">
        <f>42600-20030.8</f>
        <v>22569.200000000001</v>
      </c>
      <c r="M41" s="439"/>
      <c r="N41" s="439"/>
      <c r="O41" s="439"/>
      <c r="P41" s="526">
        <f>4740+15235+168800+11595+11595+97850+62880+47400</f>
        <v>420095</v>
      </c>
      <c r="Q41" s="439"/>
      <c r="R41" s="526">
        <f>5687+4995+12026+2654+91200+2654+8936+89150+89350+80960+47400+23960+1540+8565+8310+13860</f>
        <v>491247</v>
      </c>
      <c r="S41" s="439"/>
      <c r="T41" s="526">
        <f>5205+27102+97700+59370+80000+80000+4500+4500+4704+10000+4240</f>
        <v>377321</v>
      </c>
      <c r="U41" s="439"/>
      <c r="V41" s="439"/>
      <c r="W41" s="439"/>
      <c r="X41" s="526">
        <f>88700+23374</f>
        <v>112074</v>
      </c>
      <c r="Y41" s="526"/>
      <c r="Z41" s="526">
        <f>70600+71800+48200</f>
        <v>190600</v>
      </c>
      <c r="AA41" s="439"/>
      <c r="AB41" s="526">
        <f>34499+19880+23980+19880</f>
        <v>98239</v>
      </c>
      <c r="AC41" s="526"/>
      <c r="AD41" s="526"/>
      <c r="AE41" s="526"/>
      <c r="AF41" s="526">
        <f>18000+24000+15200+4760</f>
        <v>61960</v>
      </c>
      <c r="AG41" s="526"/>
    </row>
    <row r="42" spans="1:33" s="403" customFormat="1">
      <c r="A42" s="407"/>
      <c r="B42" s="405" t="s">
        <v>419</v>
      </c>
      <c r="C42" s="406" t="s">
        <v>228</v>
      </c>
      <c r="D42" s="449">
        <v>450000</v>
      </c>
      <c r="E42" s="455"/>
      <c r="F42" s="455">
        <f>D42</f>
        <v>450000</v>
      </c>
      <c r="G42" s="455">
        <f>'ติดตาม งบปี61 จังหวัด (ผ.อ) '!I32</f>
        <v>450000</v>
      </c>
      <c r="H42" s="497">
        <f>F42-G42</f>
        <v>0</v>
      </c>
      <c r="I42" s="455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517"/>
      <c r="Y42" s="517"/>
      <c r="Z42" s="517"/>
      <c r="AA42" s="438"/>
      <c r="AB42" s="517">
        <v>90000</v>
      </c>
      <c r="AC42" s="517"/>
      <c r="AD42" s="517"/>
      <c r="AE42" s="517"/>
      <c r="AF42" s="517">
        <f>225000+135000</f>
        <v>360000</v>
      </c>
      <c r="AG42" s="517"/>
    </row>
    <row r="43" spans="1:33" ht="46.5">
      <c r="A43" s="391">
        <v>14</v>
      </c>
      <c r="B43" s="430" t="s">
        <v>57</v>
      </c>
      <c r="C43" s="401"/>
      <c r="D43" s="462">
        <f>D46+D49</f>
        <v>1336750</v>
      </c>
      <c r="E43" s="458">
        <f>E45+E46+E47+E48+E49+E50+E51+E52</f>
        <v>13200950</v>
      </c>
      <c r="F43" s="458">
        <f>F45+F46+F47+F48+F49+F50+F51+F52</f>
        <v>14537700</v>
      </c>
      <c r="G43" s="458">
        <f>G45+G46+G47+G48+G49+G50+G51+G52</f>
        <v>5463250</v>
      </c>
      <c r="H43" s="458">
        <f>H45+H46+H47+H48+H49+H50+H51+H52</f>
        <v>7635500</v>
      </c>
      <c r="I43" s="458">
        <f>I45+I46+I47+I48+I49+I50+I51+I52</f>
        <v>1438950</v>
      </c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517"/>
      <c r="Y43" s="517"/>
      <c r="Z43" s="517"/>
      <c r="AA43" s="438"/>
      <c r="AB43" s="517"/>
      <c r="AC43" s="517"/>
      <c r="AD43" s="517"/>
      <c r="AE43" s="517"/>
      <c r="AF43" s="517"/>
      <c r="AG43" s="517"/>
    </row>
    <row r="44" spans="1:33" ht="46.5">
      <c r="A44" s="396"/>
      <c r="B44" s="432" t="s">
        <v>403</v>
      </c>
      <c r="C44" s="398"/>
      <c r="D44" s="451"/>
      <c r="E44" s="426"/>
      <c r="F44" s="426"/>
      <c r="G44" s="426"/>
      <c r="H44" s="519"/>
      <c r="I44" s="426"/>
      <c r="J44" s="438"/>
      <c r="K44" s="438"/>
      <c r="L44" s="438"/>
      <c r="M44" s="438"/>
      <c r="N44" s="438"/>
      <c r="O44" s="438"/>
      <c r="P44" s="438"/>
      <c r="Q44" s="438"/>
      <c r="R44" s="438"/>
      <c r="S44" s="438"/>
      <c r="T44" s="438"/>
      <c r="U44" s="438"/>
      <c r="V44" s="438"/>
      <c r="W44" s="438"/>
      <c r="X44" s="517"/>
      <c r="Y44" s="517"/>
      <c r="Z44" s="517"/>
      <c r="AA44" s="438"/>
      <c r="AB44" s="517"/>
      <c r="AC44" s="517"/>
      <c r="AD44" s="517"/>
      <c r="AE44" s="517"/>
      <c r="AF44" s="517"/>
      <c r="AG44" s="517"/>
    </row>
    <row r="45" spans="1:33" s="419" customFormat="1">
      <c r="A45" s="442"/>
      <c r="B45" s="413" t="s">
        <v>456</v>
      </c>
      <c r="C45" s="414" t="s">
        <v>404</v>
      </c>
      <c r="D45" s="427"/>
      <c r="E45" s="478">
        <v>5972000</v>
      </c>
      <c r="F45" s="478">
        <f>E45</f>
        <v>5972000</v>
      </c>
      <c r="G45" s="478">
        <f>'ติดตาม งบปี61 จังหวัด (ผ.อ) '!I305</f>
        <v>0</v>
      </c>
      <c r="H45" s="523">
        <f>F45-G45</f>
        <v>5972000</v>
      </c>
      <c r="I45" s="47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517"/>
      <c r="Y45" s="517"/>
      <c r="Z45" s="517"/>
      <c r="AA45" s="438"/>
      <c r="AB45" s="517"/>
      <c r="AC45" s="517"/>
      <c r="AD45" s="517"/>
      <c r="AE45" s="517"/>
      <c r="AF45" s="517"/>
      <c r="AG45" s="517"/>
    </row>
    <row r="46" spans="1:33" s="403" customFormat="1">
      <c r="A46" s="407"/>
      <c r="B46" s="433" t="s">
        <v>457</v>
      </c>
      <c r="C46" s="410" t="s">
        <v>18</v>
      </c>
      <c r="D46" s="454">
        <v>1257800</v>
      </c>
      <c r="E46" s="455">
        <v>1781900</v>
      </c>
      <c r="F46" s="455">
        <f>D46+E46</f>
        <v>3039700</v>
      </c>
      <c r="G46" s="455">
        <f>'ติดตาม งบปี61 จังหวัด (ผ.อ) '!I243</f>
        <v>1719300</v>
      </c>
      <c r="H46" s="497">
        <f>F46-G46-I46</f>
        <v>1163500</v>
      </c>
      <c r="I46" s="455">
        <v>156900</v>
      </c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517">
        <v>58400</v>
      </c>
      <c r="U46" s="438"/>
      <c r="V46" s="438"/>
      <c r="W46" s="438"/>
      <c r="X46" s="517">
        <f>4000+1900+30000</f>
        <v>35900</v>
      </c>
      <c r="Y46" s="517">
        <v>89000</v>
      </c>
      <c r="Z46" s="517"/>
      <c r="AA46" s="438"/>
      <c r="AB46" s="517"/>
      <c r="AC46" s="517"/>
      <c r="AD46" s="517"/>
      <c r="AE46" s="517">
        <f>768000+768000</f>
        <v>1536000</v>
      </c>
      <c r="AF46" s="517"/>
      <c r="AG46" s="517"/>
    </row>
    <row r="47" spans="1:33">
      <c r="A47" s="442"/>
      <c r="B47" s="413" t="s">
        <v>458</v>
      </c>
      <c r="C47" s="414" t="s">
        <v>384</v>
      </c>
      <c r="D47" s="427"/>
      <c r="E47" s="478">
        <v>1695400</v>
      </c>
      <c r="F47" s="478">
        <v>1695400</v>
      </c>
      <c r="G47" s="478">
        <f>'ติดตาม งบปี61 จังหวัด (ผ.อ) '!I311</f>
        <v>1200000</v>
      </c>
      <c r="H47" s="523">
        <f>F47-G47-I47</f>
        <v>0</v>
      </c>
      <c r="I47" s="478">
        <v>495400</v>
      </c>
      <c r="J47" s="438"/>
      <c r="K47" s="438"/>
      <c r="L47" s="438"/>
      <c r="M47" s="438"/>
      <c r="N47" s="438"/>
      <c r="O47" s="438"/>
      <c r="P47" s="438"/>
      <c r="Q47" s="438"/>
      <c r="R47" s="438"/>
      <c r="S47" s="517">
        <v>1200000</v>
      </c>
      <c r="T47" s="438"/>
      <c r="U47" s="438"/>
      <c r="V47" s="438"/>
      <c r="W47" s="438"/>
      <c r="X47" s="517"/>
      <c r="Y47" s="517"/>
      <c r="Z47" s="517"/>
      <c r="AA47" s="438"/>
      <c r="AB47" s="517"/>
      <c r="AC47" s="517"/>
      <c r="AD47" s="517"/>
      <c r="AE47" s="517"/>
      <c r="AF47" s="517"/>
      <c r="AG47" s="517"/>
    </row>
    <row r="48" spans="1:33" s="403" customFormat="1">
      <c r="A48" s="407"/>
      <c r="B48" s="409" t="s">
        <v>459</v>
      </c>
      <c r="C48" s="410" t="s">
        <v>384</v>
      </c>
      <c r="D48" s="454"/>
      <c r="E48" s="455">
        <v>1372000</v>
      </c>
      <c r="F48" s="455">
        <v>1372000</v>
      </c>
      <c r="G48" s="455">
        <f>'ติดตาม งบปี61 จังหวัด (ผ.อ) '!H314</f>
        <v>1029000</v>
      </c>
      <c r="H48" s="497">
        <f>F48-G48-I48</f>
        <v>0</v>
      </c>
      <c r="I48" s="455">
        <v>343000</v>
      </c>
      <c r="J48" s="438"/>
      <c r="K48" s="438"/>
      <c r="L48" s="438"/>
      <c r="M48" s="438"/>
      <c r="N48" s="438"/>
      <c r="O48" s="438"/>
      <c r="P48" s="438"/>
      <c r="Q48" s="438"/>
      <c r="R48" s="438"/>
      <c r="S48" s="517">
        <v>1029000</v>
      </c>
      <c r="T48" s="438"/>
      <c r="U48" s="438"/>
      <c r="V48" s="438"/>
      <c r="W48" s="438"/>
      <c r="X48" s="517"/>
      <c r="Y48" s="517"/>
      <c r="Z48" s="517"/>
      <c r="AA48" s="438"/>
      <c r="AB48" s="517"/>
      <c r="AC48" s="517"/>
      <c r="AD48" s="517"/>
      <c r="AE48" s="517"/>
      <c r="AF48" s="517"/>
      <c r="AG48" s="517"/>
    </row>
    <row r="49" spans="1:33" s="403" customFormat="1" ht="46.5">
      <c r="A49" s="407"/>
      <c r="B49" s="433" t="s">
        <v>460</v>
      </c>
      <c r="C49" s="410" t="s">
        <v>386</v>
      </c>
      <c r="D49" s="454">
        <v>78950</v>
      </c>
      <c r="E49" s="455">
        <v>623950</v>
      </c>
      <c r="F49" s="455">
        <f>D49+E49</f>
        <v>702900</v>
      </c>
      <c r="G49" s="455">
        <f>'ติดตาม งบปี61 จังหวัด (ผ.อ) '!I276</f>
        <v>673950</v>
      </c>
      <c r="H49" s="497">
        <f>F49-G49-I49</f>
        <v>0</v>
      </c>
      <c r="I49" s="455">
        <v>28950</v>
      </c>
      <c r="J49" s="439"/>
      <c r="K49" s="439"/>
      <c r="L49" s="439"/>
      <c r="M49" s="439"/>
      <c r="N49" s="439"/>
      <c r="O49" s="439"/>
      <c r="P49" s="439"/>
      <c r="Q49" s="439"/>
      <c r="R49" s="439"/>
      <c r="S49" s="439"/>
      <c r="T49" s="439"/>
      <c r="U49" s="439"/>
      <c r="V49" s="439"/>
      <c r="W49" s="439"/>
      <c r="X49" s="526"/>
      <c r="Y49" s="526"/>
      <c r="Z49" s="526"/>
      <c r="AA49" s="439"/>
      <c r="AB49" s="526"/>
      <c r="AC49" s="526"/>
      <c r="AD49" s="526"/>
      <c r="AE49" s="526"/>
      <c r="AF49" s="526">
        <f>28000+20000+30950</f>
        <v>78950</v>
      </c>
      <c r="AG49" s="526">
        <v>595000</v>
      </c>
    </row>
    <row r="50" spans="1:33">
      <c r="A50" s="442"/>
      <c r="B50" s="413" t="s">
        <v>461</v>
      </c>
      <c r="C50" s="414" t="s">
        <v>386</v>
      </c>
      <c r="E50" s="427">
        <v>370000</v>
      </c>
      <c r="F50" s="427">
        <v>370000</v>
      </c>
      <c r="G50" s="427">
        <f>'ติดตาม งบปี61 จังหวัด (ผ.อ) '!I281</f>
        <v>370000</v>
      </c>
      <c r="H50" s="573">
        <f>F50-G50</f>
        <v>0</v>
      </c>
      <c r="I50" s="427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519"/>
      <c r="Y50" s="519"/>
      <c r="Z50" s="519"/>
      <c r="AA50" s="396"/>
      <c r="AB50" s="519"/>
      <c r="AC50" s="519"/>
      <c r="AD50" s="519"/>
      <c r="AE50" s="519"/>
      <c r="AF50" s="519"/>
      <c r="AG50" s="519"/>
    </row>
    <row r="51" spans="1:33">
      <c r="A51" s="442"/>
      <c r="B51" s="413" t="s">
        <v>462</v>
      </c>
      <c r="C51" s="414" t="s">
        <v>386</v>
      </c>
      <c r="D51" s="427"/>
      <c r="E51" s="478">
        <v>473200</v>
      </c>
      <c r="F51" s="478">
        <f>E51</f>
        <v>473200</v>
      </c>
      <c r="G51" s="478">
        <f>'ติดตาม งบปี61 จังหวัด (ผ.อ) '!I284</f>
        <v>471000</v>
      </c>
      <c r="H51" s="523">
        <f>F51-G51-I51</f>
        <v>0</v>
      </c>
      <c r="I51" s="478">
        <v>2200</v>
      </c>
      <c r="J51" s="396"/>
      <c r="K51" s="396"/>
      <c r="L51" s="396"/>
      <c r="M51" s="396"/>
      <c r="N51" s="396"/>
      <c r="O51" s="396"/>
      <c r="P51" s="396"/>
      <c r="Q51" s="396"/>
      <c r="R51" s="396"/>
      <c r="S51" s="519">
        <v>471000</v>
      </c>
      <c r="T51" s="396"/>
      <c r="U51" s="396"/>
      <c r="V51" s="396"/>
      <c r="W51" s="396"/>
      <c r="X51" s="519"/>
      <c r="Y51" s="519"/>
      <c r="Z51" s="519"/>
      <c r="AA51" s="396"/>
      <c r="AB51" s="519"/>
      <c r="AC51" s="519"/>
      <c r="AD51" s="519"/>
      <c r="AE51" s="519"/>
      <c r="AF51" s="519"/>
      <c r="AG51" s="519"/>
    </row>
    <row r="52" spans="1:33" s="403" customFormat="1" ht="46.5">
      <c r="A52" s="407"/>
      <c r="B52" s="433" t="s">
        <v>567</v>
      </c>
      <c r="C52" s="410" t="s">
        <v>406</v>
      </c>
      <c r="D52" s="454"/>
      <c r="E52" s="455">
        <v>912500</v>
      </c>
      <c r="F52" s="455">
        <f>E52</f>
        <v>912500</v>
      </c>
      <c r="G52" s="455">
        <f>'ติดตาม งบปี61 จังหวัด (ผ.อ) '!I285</f>
        <v>0</v>
      </c>
      <c r="H52" s="497">
        <f>F52-G52-I52</f>
        <v>500000</v>
      </c>
      <c r="I52" s="455">
        <v>412500</v>
      </c>
      <c r="J52" s="402"/>
      <c r="K52" s="402"/>
      <c r="L52" s="402"/>
      <c r="M52" s="402"/>
      <c r="N52" s="402"/>
      <c r="O52" s="402"/>
      <c r="P52" s="402"/>
      <c r="Q52" s="402"/>
      <c r="R52" s="402"/>
      <c r="S52" s="496"/>
      <c r="T52" s="402"/>
      <c r="U52" s="402"/>
      <c r="V52" s="402"/>
      <c r="W52" s="402"/>
      <c r="X52" s="496"/>
      <c r="Y52" s="496"/>
      <c r="Z52" s="496"/>
      <c r="AA52" s="402"/>
      <c r="AB52" s="496"/>
      <c r="AC52" s="496"/>
      <c r="AD52" s="496"/>
      <c r="AE52" s="496"/>
      <c r="AF52" s="496"/>
      <c r="AG52" s="496"/>
    </row>
    <row r="53" spans="1:33" ht="46.5">
      <c r="A53" s="396"/>
      <c r="B53" s="780" t="s">
        <v>575</v>
      </c>
      <c r="C53" s="780"/>
      <c r="D53" s="465">
        <f>D6+D21+D39+D43+D28</f>
        <v>43688980</v>
      </c>
      <c r="E53" s="465">
        <f>E6+E43+E28</f>
        <v>42531170</v>
      </c>
      <c r="F53" s="6">
        <f>F6+F21+F28+F39+F43</f>
        <v>86220150</v>
      </c>
      <c r="G53" s="6">
        <v>53978829.079999998</v>
      </c>
      <c r="H53" s="624">
        <v>18022875.420000002</v>
      </c>
      <c r="I53" s="6">
        <v>6173317.4500000002</v>
      </c>
      <c r="J53" s="518">
        <f>SUM(J7:J51)</f>
        <v>0</v>
      </c>
      <c r="K53" s="518">
        <f t="shared" ref="K53:AG53" si="4">SUM(K7:K51)</f>
        <v>0</v>
      </c>
      <c r="L53" s="518">
        <f t="shared" si="4"/>
        <v>22569.200000000001</v>
      </c>
      <c r="M53" s="518">
        <f t="shared" si="4"/>
        <v>0</v>
      </c>
      <c r="N53" s="518">
        <f t="shared" si="4"/>
        <v>0</v>
      </c>
      <c r="O53" s="518">
        <f t="shared" si="4"/>
        <v>0</v>
      </c>
      <c r="P53" s="518">
        <f>SUM(P7:P51)-3211</f>
        <v>11416884</v>
      </c>
      <c r="Q53" s="518">
        <f t="shared" si="4"/>
        <v>0</v>
      </c>
      <c r="R53" s="518">
        <f t="shared" si="4"/>
        <v>493047</v>
      </c>
      <c r="S53" s="518">
        <f t="shared" si="4"/>
        <v>2700000</v>
      </c>
      <c r="T53" s="518">
        <f t="shared" si="4"/>
        <v>2044481</v>
      </c>
      <c r="U53" s="518">
        <f t="shared" si="4"/>
        <v>0</v>
      </c>
      <c r="V53" s="518">
        <f t="shared" si="4"/>
        <v>400280</v>
      </c>
      <c r="W53" s="518">
        <f t="shared" si="4"/>
        <v>487320</v>
      </c>
      <c r="X53" s="518">
        <f t="shared" si="4"/>
        <v>1338364</v>
      </c>
      <c r="Y53" s="518">
        <f t="shared" si="4"/>
        <v>114000</v>
      </c>
      <c r="Z53" s="518">
        <f t="shared" si="4"/>
        <v>2894961</v>
      </c>
      <c r="AA53" s="518">
        <f t="shared" si="4"/>
        <v>978490.27</v>
      </c>
      <c r="AB53" s="518">
        <f t="shared" si="4"/>
        <v>1661868.77</v>
      </c>
      <c r="AC53" s="518">
        <f t="shared" si="4"/>
        <v>4065059.39</v>
      </c>
      <c r="AD53" s="518">
        <f t="shared" si="4"/>
        <v>7394635</v>
      </c>
      <c r="AE53" s="518">
        <f t="shared" si="4"/>
        <v>1765800</v>
      </c>
      <c r="AF53" s="518">
        <f t="shared" si="4"/>
        <v>5682493.1500000004</v>
      </c>
      <c r="AG53" s="518">
        <f t="shared" si="4"/>
        <v>10518576.300000001</v>
      </c>
    </row>
    <row r="54" spans="1:33" hidden="1">
      <c r="E54" s="784" t="s">
        <v>526</v>
      </c>
      <c r="F54" s="784"/>
      <c r="G54" s="4">
        <v>17987721</v>
      </c>
    </row>
    <row r="55" spans="1:33" hidden="1">
      <c r="E55" s="784" t="s">
        <v>527</v>
      </c>
      <c r="F55" s="784"/>
      <c r="G55" s="4">
        <v>4415091</v>
      </c>
    </row>
    <row r="56" spans="1:33" hidden="1">
      <c r="D56" s="468">
        <f>E53+D58</f>
        <v>71969520</v>
      </c>
    </row>
    <row r="57" spans="1:33" hidden="1"/>
    <row r="58" spans="1:33" hidden="1">
      <c r="D58" s="468">
        <f>D12+D13+D14+D16+D17+D23+D24+D25+D26+D27+D37</f>
        <v>29438350</v>
      </c>
    </row>
    <row r="59" spans="1:33" hidden="1"/>
  </sheetData>
  <dataConsolidate/>
  <mergeCells count="28">
    <mergeCell ref="E54:F54"/>
    <mergeCell ref="E55:F55"/>
    <mergeCell ref="AD2:AE2"/>
    <mergeCell ref="AF2:AG2"/>
    <mergeCell ref="T2:U2"/>
    <mergeCell ref="V2:W2"/>
    <mergeCell ref="X2:Y2"/>
    <mergeCell ref="Z2:AA2"/>
    <mergeCell ref="AB2:AC2"/>
    <mergeCell ref="J2:K2"/>
    <mergeCell ref="L2:M2"/>
    <mergeCell ref="N2:O2"/>
    <mergeCell ref="P2:Q2"/>
    <mergeCell ref="R2:S2"/>
    <mergeCell ref="A4:D4"/>
    <mergeCell ref="A5:B5"/>
    <mergeCell ref="B53:C53"/>
    <mergeCell ref="F2:F3"/>
    <mergeCell ref="A1:I1"/>
    <mergeCell ref="A2:A3"/>
    <mergeCell ref="B2:B3"/>
    <mergeCell ref="C2:C3"/>
    <mergeCell ref="D2:D3"/>
    <mergeCell ref="E2:E3"/>
    <mergeCell ref="I2:I3"/>
    <mergeCell ref="G2:G3"/>
    <mergeCell ref="H2:H3"/>
    <mergeCell ref="B30:B31"/>
  </mergeCells>
  <printOptions horizontalCentered="1"/>
  <pageMargins left="0.2" right="9.8425196850393706E-2" top="0.79" bottom="7.874015748031496E-2" header="0.73" footer="0.31496062992125984"/>
  <pageSetup paperSize="9" scale="81" fitToHeight="0" orientation="landscape" r:id="rId1"/>
  <headerFooter scaleWithDoc="0"/>
  <rowBreaks count="2" manualBreakCount="2">
    <brk id="20" max="9" man="1"/>
    <brk id="3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68"/>
  <sheetViews>
    <sheetView tabSelected="1" view="pageBreakPreview" zoomScale="70" zoomScaleNormal="99" zoomScaleSheetLayoutView="70" workbookViewId="0">
      <pane ySplit="3" topLeftCell="A23" activePane="bottomLeft" state="frozen"/>
      <selection pane="bottomLeft" activeCell="AI71" sqref="AI71"/>
    </sheetView>
  </sheetViews>
  <sheetFormatPr defaultColWidth="9" defaultRowHeight="23.25" outlineLevelCol="1"/>
  <cols>
    <col min="1" max="1" width="9.28515625" style="386" customWidth="1"/>
    <col min="2" max="2" width="76.28515625" style="424" customWidth="1"/>
    <col min="3" max="3" width="26.140625" style="394" customWidth="1"/>
    <col min="4" max="5" width="21.85546875" style="486" hidden="1" customWidth="1" outlineLevel="1"/>
    <col min="6" max="6" width="18.5703125" style="468" customWidth="1" collapsed="1"/>
    <col min="7" max="7" width="18.85546875" style="601" bestFit="1" customWidth="1"/>
    <col min="8" max="8" width="20" style="469" bestFit="1" customWidth="1"/>
    <col min="9" max="9" width="21.42578125" style="636" bestFit="1" customWidth="1"/>
    <col min="10" max="23" width="19" style="387" hidden="1" customWidth="1"/>
    <col min="24" max="24" width="19" style="675" hidden="1" customWidth="1"/>
    <col min="25" max="27" width="19" style="387" hidden="1" customWidth="1"/>
    <col min="28" max="33" width="19" style="675" hidden="1" customWidth="1"/>
    <col min="34" max="16384" width="9" style="386"/>
  </cols>
  <sheetData>
    <row r="1" spans="1:33" ht="27.75" customHeight="1">
      <c r="A1" s="764" t="s">
        <v>642</v>
      </c>
      <c r="B1" s="764"/>
      <c r="C1" s="764"/>
      <c r="D1" s="764"/>
      <c r="E1" s="764"/>
      <c r="F1" s="764"/>
      <c r="G1" s="764"/>
      <c r="H1" s="764"/>
      <c r="I1" s="764"/>
    </row>
    <row r="2" spans="1:33" s="388" customFormat="1" ht="15.75" customHeight="1">
      <c r="A2" s="769" t="s">
        <v>358</v>
      </c>
      <c r="B2" s="769" t="s">
        <v>359</v>
      </c>
      <c r="C2" s="769" t="s">
        <v>360</v>
      </c>
      <c r="D2" s="782" t="s">
        <v>2</v>
      </c>
      <c r="E2" s="782" t="s">
        <v>3</v>
      </c>
      <c r="F2" s="773" t="s">
        <v>528</v>
      </c>
      <c r="G2" s="770" t="s">
        <v>96</v>
      </c>
      <c r="H2" s="770" t="s">
        <v>99</v>
      </c>
      <c r="I2" s="797" t="s">
        <v>416</v>
      </c>
      <c r="J2" s="779">
        <v>22190</v>
      </c>
      <c r="K2" s="779"/>
      <c r="L2" s="779">
        <v>22221</v>
      </c>
      <c r="M2" s="779"/>
      <c r="N2" s="779">
        <v>22251</v>
      </c>
      <c r="O2" s="779"/>
      <c r="P2" s="779">
        <v>22282</v>
      </c>
      <c r="Q2" s="779"/>
      <c r="R2" s="779">
        <v>22313</v>
      </c>
      <c r="S2" s="779"/>
      <c r="T2" s="779">
        <v>22341</v>
      </c>
      <c r="U2" s="779"/>
      <c r="V2" s="779">
        <v>22372</v>
      </c>
      <c r="W2" s="779"/>
      <c r="X2" s="779">
        <v>22402</v>
      </c>
      <c r="Y2" s="779"/>
      <c r="Z2" s="779">
        <v>22433</v>
      </c>
      <c r="AA2" s="779"/>
      <c r="AB2" s="779">
        <v>22463</v>
      </c>
      <c r="AC2" s="779"/>
      <c r="AD2" s="779">
        <v>22494</v>
      </c>
      <c r="AE2" s="779"/>
      <c r="AF2" s="779">
        <v>22525</v>
      </c>
      <c r="AG2" s="779"/>
    </row>
    <row r="3" spans="1:33" s="388" customFormat="1" ht="18" customHeight="1">
      <c r="A3" s="769"/>
      <c r="B3" s="769"/>
      <c r="C3" s="769"/>
      <c r="D3" s="783"/>
      <c r="E3" s="783"/>
      <c r="F3" s="774"/>
      <c r="G3" s="771"/>
      <c r="H3" s="771"/>
      <c r="I3" s="798"/>
      <c r="J3" s="509" t="s">
        <v>2</v>
      </c>
      <c r="K3" s="509" t="s">
        <v>3</v>
      </c>
      <c r="L3" s="509" t="s">
        <v>2</v>
      </c>
      <c r="M3" s="509" t="s">
        <v>3</v>
      </c>
      <c r="N3" s="509" t="s">
        <v>2</v>
      </c>
      <c r="O3" s="509" t="s">
        <v>3</v>
      </c>
      <c r="P3" s="509" t="s">
        <v>2</v>
      </c>
      <c r="Q3" s="509" t="s">
        <v>3</v>
      </c>
      <c r="R3" s="509" t="s">
        <v>2</v>
      </c>
      <c r="S3" s="509" t="s">
        <v>3</v>
      </c>
      <c r="T3" s="509" t="s">
        <v>2</v>
      </c>
      <c r="U3" s="509" t="s">
        <v>3</v>
      </c>
      <c r="V3" s="509" t="s">
        <v>2</v>
      </c>
      <c r="W3" s="509" t="s">
        <v>3</v>
      </c>
      <c r="X3" s="676" t="s">
        <v>2</v>
      </c>
      <c r="Y3" s="509" t="s">
        <v>3</v>
      </c>
      <c r="Z3" s="509" t="s">
        <v>2</v>
      </c>
      <c r="AA3" s="509" t="s">
        <v>3</v>
      </c>
      <c r="AB3" s="676" t="s">
        <v>2</v>
      </c>
      <c r="AC3" s="676" t="s">
        <v>3</v>
      </c>
      <c r="AD3" s="676" t="s">
        <v>2</v>
      </c>
      <c r="AE3" s="676" t="s">
        <v>3</v>
      </c>
      <c r="AF3" s="676" t="s">
        <v>2</v>
      </c>
      <c r="AG3" s="676" t="s">
        <v>3</v>
      </c>
    </row>
    <row r="4" spans="1:33" s="388" customFormat="1">
      <c r="A4" s="766" t="s">
        <v>407</v>
      </c>
      <c r="B4" s="766"/>
      <c r="C4" s="766"/>
      <c r="D4" s="483"/>
      <c r="E4" s="483"/>
      <c r="F4" s="471"/>
      <c r="G4" s="625"/>
      <c r="H4" s="471"/>
      <c r="I4" s="625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676"/>
      <c r="V4" s="676"/>
      <c r="W4" s="676"/>
      <c r="X4" s="676"/>
      <c r="Y4" s="676"/>
      <c r="Z4" s="676"/>
      <c r="AA4" s="676"/>
      <c r="AB4" s="676"/>
      <c r="AC4" s="676"/>
      <c r="AD4" s="676"/>
      <c r="AE4" s="676"/>
      <c r="AF4" s="676"/>
      <c r="AG4" s="676"/>
    </row>
    <row r="5" spans="1:33" s="388" customFormat="1">
      <c r="A5" s="447" t="s">
        <v>79</v>
      </c>
      <c r="B5" s="447"/>
      <c r="C5" s="447"/>
      <c r="D5" s="483"/>
      <c r="E5" s="483"/>
      <c r="F5" s="471"/>
      <c r="G5" s="625"/>
      <c r="H5" s="471"/>
      <c r="I5" s="625"/>
      <c r="J5" s="677"/>
      <c r="K5" s="677"/>
      <c r="L5" s="677"/>
      <c r="M5" s="677"/>
      <c r="N5" s="677"/>
      <c r="O5" s="677"/>
      <c r="P5" s="677"/>
      <c r="Q5" s="677"/>
      <c r="R5" s="677"/>
      <c r="S5" s="677"/>
      <c r="T5" s="677"/>
      <c r="U5" s="677"/>
      <c r="V5" s="677"/>
      <c r="W5" s="677"/>
      <c r="X5" s="677"/>
      <c r="Y5" s="677"/>
      <c r="Z5" s="677"/>
      <c r="AA5" s="677"/>
      <c r="AB5" s="677"/>
      <c r="AC5" s="677"/>
      <c r="AD5" s="677"/>
      <c r="AE5" s="677"/>
      <c r="AF5" s="677"/>
      <c r="AG5" s="677"/>
    </row>
    <row r="6" spans="1:33">
      <c r="A6" s="391">
        <v>15</v>
      </c>
      <c r="B6" s="392" t="s">
        <v>66</v>
      </c>
      <c r="C6" s="393"/>
      <c r="D6" s="462">
        <f>D11</f>
        <v>180000</v>
      </c>
      <c r="E6" s="462">
        <f>E8+E9+E11</f>
        <v>18773000</v>
      </c>
      <c r="F6" s="471">
        <f>F8+F9+F11</f>
        <v>18953000</v>
      </c>
      <c r="G6" s="625">
        <f>G8+G9+G11</f>
        <v>13432876.09</v>
      </c>
      <c r="H6" s="471">
        <f>H8+H9+H11</f>
        <v>2726080</v>
      </c>
      <c r="I6" s="625">
        <f>I11+I8+I9</f>
        <v>422923.91</v>
      </c>
      <c r="J6" s="677"/>
      <c r="K6" s="677"/>
      <c r="L6" s="677"/>
      <c r="M6" s="677"/>
      <c r="N6" s="677"/>
      <c r="O6" s="677"/>
      <c r="P6" s="677"/>
      <c r="Q6" s="677"/>
      <c r="R6" s="677"/>
      <c r="S6" s="677"/>
      <c r="T6" s="677"/>
      <c r="U6" s="677"/>
      <c r="V6" s="677"/>
      <c r="W6" s="677"/>
      <c r="X6" s="677"/>
      <c r="Y6" s="677"/>
      <c r="Z6" s="677"/>
      <c r="AA6" s="677"/>
      <c r="AB6" s="677"/>
      <c r="AC6" s="677"/>
      <c r="AD6" s="677"/>
      <c r="AE6" s="677"/>
      <c r="AF6" s="677"/>
      <c r="AG6" s="677"/>
    </row>
    <row r="7" spans="1:33">
      <c r="A7" s="396"/>
      <c r="B7" s="397" t="s">
        <v>67</v>
      </c>
      <c r="C7" s="398"/>
      <c r="D7" s="452"/>
      <c r="E7" s="452"/>
      <c r="F7" s="426"/>
      <c r="G7" s="519"/>
      <c r="H7" s="450"/>
      <c r="I7" s="521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</row>
    <row r="8" spans="1:33" s="403" customFormat="1" ht="46.5">
      <c r="A8" s="407"/>
      <c r="B8" s="405" t="s">
        <v>408</v>
      </c>
      <c r="C8" s="406" t="s">
        <v>68</v>
      </c>
      <c r="D8" s="449"/>
      <c r="E8" s="449">
        <v>5208000</v>
      </c>
      <c r="F8" s="449">
        <v>5208000</v>
      </c>
      <c r="G8" s="597">
        <f>'ติดตาม งบปี61 จังหวัด (ผ.อ) '!I196</f>
        <v>1160000</v>
      </c>
      <c r="H8" s="453">
        <f>F8-G8-1321920</f>
        <v>2726080</v>
      </c>
      <c r="I8" s="632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>
        <f>760000+400000</f>
        <v>1160000</v>
      </c>
      <c r="AF8" s="519"/>
      <c r="AG8" s="519"/>
    </row>
    <row r="9" spans="1:33" s="403" customFormat="1" ht="46.5">
      <c r="A9" s="407"/>
      <c r="B9" s="405" t="s">
        <v>415</v>
      </c>
      <c r="C9" s="406" t="s">
        <v>68</v>
      </c>
      <c r="D9" s="449"/>
      <c r="E9" s="449">
        <v>10625000</v>
      </c>
      <c r="F9" s="449">
        <f>E9</f>
        <v>10625000</v>
      </c>
      <c r="G9" s="597">
        <f>'ติดตาม งบปี61 จังหวัด (ผ.อ) '!I205</f>
        <v>9575800</v>
      </c>
      <c r="H9" s="453">
        <f>F9-G9-1049200</f>
        <v>0</v>
      </c>
      <c r="I9" s="632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>
        <f>4995800+500000+4080000</f>
        <v>9575800</v>
      </c>
    </row>
    <row r="10" spans="1:33">
      <c r="A10" s="396"/>
      <c r="B10" s="397" t="s">
        <v>409</v>
      </c>
      <c r="C10" s="398"/>
      <c r="D10" s="452"/>
      <c r="E10" s="452"/>
      <c r="F10" s="426"/>
      <c r="G10" s="519"/>
      <c r="H10" s="450"/>
      <c r="I10" s="521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</row>
    <row r="11" spans="1:33">
      <c r="A11" s="396"/>
      <c r="B11" s="400" t="s">
        <v>414</v>
      </c>
      <c r="C11" s="398" t="s">
        <v>76</v>
      </c>
      <c r="D11" s="452">
        <v>180000</v>
      </c>
      <c r="E11" s="452">
        <v>2940000</v>
      </c>
      <c r="F11" s="426">
        <v>3120000</v>
      </c>
      <c r="G11" s="519">
        <f>'ติดตาม งบปี61 จังหวัด (ผ.อ) '!I70</f>
        <v>2697076.09</v>
      </c>
      <c r="H11" s="450">
        <f>F11-G11-I11</f>
        <v>0</v>
      </c>
      <c r="I11" s="521">
        <v>422923.91</v>
      </c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>
        <v>120200</v>
      </c>
      <c r="W11" s="518"/>
      <c r="X11" s="518">
        <f>17800+18000</f>
        <v>35800</v>
      </c>
      <c r="Y11" s="518"/>
      <c r="Z11" s="518"/>
      <c r="AA11" s="518"/>
      <c r="AB11" s="518">
        <v>22500</v>
      </c>
      <c r="AC11" s="518"/>
      <c r="AD11" s="518"/>
      <c r="AE11" s="518">
        <f>18135+315549+369396</f>
        <v>703080</v>
      </c>
      <c r="AF11" s="518"/>
      <c r="AG11" s="518">
        <f>690246+358566.33+766683.76</f>
        <v>1815496.09</v>
      </c>
    </row>
    <row r="12" spans="1:33" s="388" customFormat="1">
      <c r="A12" s="766" t="s">
        <v>109</v>
      </c>
      <c r="B12" s="766"/>
      <c r="C12" s="766"/>
      <c r="D12" s="483"/>
      <c r="E12" s="483"/>
      <c r="F12" s="471"/>
      <c r="G12" s="625"/>
      <c r="H12" s="471"/>
      <c r="I12" s="625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</row>
    <row r="13" spans="1:33" s="388" customFormat="1">
      <c r="A13" s="766" t="s">
        <v>81</v>
      </c>
      <c r="B13" s="766"/>
      <c r="C13" s="448"/>
      <c r="D13" s="483"/>
      <c r="E13" s="483"/>
      <c r="F13" s="471"/>
      <c r="G13" s="625"/>
      <c r="H13" s="471"/>
      <c r="I13" s="625"/>
      <c r="J13" s="497"/>
      <c r="K13" s="497"/>
      <c r="L13" s="497"/>
      <c r="M13" s="497"/>
      <c r="N13" s="497"/>
      <c r="O13" s="497"/>
      <c r="P13" s="497"/>
      <c r="Q13" s="497"/>
      <c r="R13" s="497"/>
      <c r="S13" s="497"/>
      <c r="T13" s="497"/>
      <c r="U13" s="497"/>
      <c r="V13" s="497"/>
      <c r="W13" s="497"/>
      <c r="X13" s="497"/>
      <c r="Y13" s="497"/>
      <c r="Z13" s="497"/>
      <c r="AA13" s="497"/>
      <c r="AB13" s="497"/>
      <c r="AC13" s="497"/>
      <c r="AD13" s="497"/>
      <c r="AE13" s="497"/>
      <c r="AF13" s="497"/>
      <c r="AG13" s="497"/>
    </row>
    <row r="14" spans="1:33">
      <c r="A14" s="391">
        <v>16</v>
      </c>
      <c r="B14" s="392" t="s">
        <v>77</v>
      </c>
      <c r="C14" s="393"/>
      <c r="D14" s="462">
        <f>D23+D24+D28</f>
        <v>26802400</v>
      </c>
      <c r="E14" s="462">
        <f>E16+E17+E18+E22+E23+E24+E25+E26+E19+E20</f>
        <v>163161500</v>
      </c>
      <c r="F14" s="462">
        <f>F16+F17+F18+F22+F23+F24+F25+F26+F19+F28+F20</f>
        <v>189963900</v>
      </c>
      <c r="G14" s="462">
        <f>G16+G17+G18+G22+G23+G24+G25+G26+G19+G28+G20</f>
        <v>41204271.719999999</v>
      </c>
      <c r="H14" s="462">
        <f t="shared" ref="H14" si="0">H16+H17+H18+H22+H23+H24+H25+H26+H19+H28+H20</f>
        <v>132417584.95999999</v>
      </c>
      <c r="I14" s="462">
        <f>I16+I17+I18+I22+I23+I24+I25+I26+I19+I28+I20</f>
        <v>6873919.9199999999</v>
      </c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</row>
    <row r="15" spans="1:33">
      <c r="A15" s="396"/>
      <c r="B15" s="397" t="s">
        <v>82</v>
      </c>
      <c r="C15" s="398"/>
      <c r="D15" s="452"/>
      <c r="E15" s="452"/>
      <c r="F15" s="426"/>
      <c r="G15" s="519"/>
      <c r="H15" s="450"/>
      <c r="I15" s="521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</row>
    <row r="16" spans="1:33" s="403" customFormat="1">
      <c r="A16" s="407"/>
      <c r="B16" s="405" t="s">
        <v>410</v>
      </c>
      <c r="C16" s="1" t="s">
        <v>411</v>
      </c>
      <c r="D16" s="473"/>
      <c r="E16" s="455">
        <v>7840000</v>
      </c>
      <c r="F16" s="455">
        <v>7840000</v>
      </c>
      <c r="G16" s="497">
        <f>'ติดตาม งบปี61 จังหวัด (ผ.อ) '!I163</f>
        <v>7140000</v>
      </c>
      <c r="H16" s="484">
        <f>F16-G16-700000</f>
        <v>0</v>
      </c>
      <c r="I16" s="633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>
        <v>1071000</v>
      </c>
      <c r="Z16" s="496"/>
      <c r="AA16" s="496"/>
      <c r="AB16" s="496"/>
      <c r="AC16" s="496"/>
      <c r="AD16" s="496"/>
      <c r="AE16" s="496"/>
      <c r="AF16" s="496"/>
      <c r="AG16" s="496">
        <v>6069000</v>
      </c>
    </row>
    <row r="17" spans="1:36" s="403" customFormat="1" ht="46.5">
      <c r="A17" s="407"/>
      <c r="B17" s="405" t="s">
        <v>636</v>
      </c>
      <c r="C17" s="1" t="s">
        <v>411</v>
      </c>
      <c r="D17" s="473"/>
      <c r="E17" s="455">
        <v>19600000</v>
      </c>
      <c r="F17" s="455">
        <v>19600000</v>
      </c>
      <c r="G17" s="497">
        <f>'ติดตาม งบปี61 จังหวัด (ผ.อ) '!I166</f>
        <v>4482182.7200000007</v>
      </c>
      <c r="H17" s="633">
        <v>15117817.279999999</v>
      </c>
      <c r="I17" s="633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>
        <v>2350795.14</v>
      </c>
      <c r="AF17" s="496"/>
      <c r="AG17" s="496">
        <f>376127.22+1755260.36</f>
        <v>2131387.58</v>
      </c>
    </row>
    <row r="18" spans="1:36" s="403" customFormat="1" ht="46.5">
      <c r="A18" s="407"/>
      <c r="B18" s="405" t="s">
        <v>417</v>
      </c>
      <c r="C18" s="1" t="s">
        <v>411</v>
      </c>
      <c r="D18" s="473"/>
      <c r="E18" s="455">
        <v>17000000</v>
      </c>
      <c r="F18" s="455">
        <f>E18</f>
        <v>17000000</v>
      </c>
      <c r="G18" s="497">
        <f>'ติดตาม งบปี61 จังหวัด (ผ.อ) '!I178</f>
        <v>2055000</v>
      </c>
      <c r="H18" s="484">
        <f>F18-I18-3300000</f>
        <v>13700000</v>
      </c>
      <c r="I18" s="633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>
        <v>2055000</v>
      </c>
    </row>
    <row r="19" spans="1:36" s="403" customFormat="1" ht="46.5">
      <c r="A19" s="407"/>
      <c r="B19" s="405" t="s">
        <v>634</v>
      </c>
      <c r="C19" s="1" t="s">
        <v>411</v>
      </c>
      <c r="D19" s="473"/>
      <c r="E19" s="455">
        <v>8400000</v>
      </c>
      <c r="F19" s="455">
        <v>8400000</v>
      </c>
      <c r="G19" s="497">
        <f>'ติดตาม งบปี61 จังหวัด (ผ.อ) '!I182</f>
        <v>1183500</v>
      </c>
      <c r="H19" s="484">
        <f>F19-G19-I19</f>
        <v>6645700.0800000001</v>
      </c>
      <c r="I19" s="633">
        <v>570799.92000000004</v>
      </c>
      <c r="J19" s="496"/>
      <c r="K19" s="496"/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496"/>
      <c r="AE19" s="496"/>
      <c r="AF19" s="496"/>
      <c r="AG19" s="496">
        <f>1183500</f>
        <v>1183500</v>
      </c>
    </row>
    <row r="20" spans="1:36" s="403" customFormat="1" ht="46.5">
      <c r="A20" s="407"/>
      <c r="B20" s="405" t="s">
        <v>635</v>
      </c>
      <c r="C20" s="1" t="s">
        <v>411</v>
      </c>
      <c r="D20" s="473"/>
      <c r="E20" s="455">
        <v>9800000</v>
      </c>
      <c r="F20" s="455">
        <f>E20</f>
        <v>9800000</v>
      </c>
      <c r="G20" s="497">
        <f>'ติดตาม งบปี61 จังหวัด (ผ.อ) '!I183</f>
        <v>0</v>
      </c>
      <c r="H20" s="484">
        <f>F20-G20-I20</f>
        <v>8754000</v>
      </c>
      <c r="I20" s="633">
        <v>1046000</v>
      </c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</row>
    <row r="21" spans="1:36">
      <c r="A21" s="396"/>
      <c r="B21" s="397" t="s">
        <v>84</v>
      </c>
      <c r="C21" s="398"/>
      <c r="D21" s="452"/>
      <c r="E21" s="426"/>
      <c r="F21" s="426"/>
      <c r="G21" s="519"/>
      <c r="H21" s="450"/>
      <c r="I21" s="521"/>
      <c r="J21" s="496"/>
      <c r="K21" s="496"/>
      <c r="L21" s="496"/>
      <c r="M21" s="496"/>
      <c r="N21" s="496"/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/>
      <c r="AB21" s="496"/>
      <c r="AC21" s="496"/>
      <c r="AD21" s="496"/>
      <c r="AE21" s="496"/>
      <c r="AF21" s="496"/>
      <c r="AG21" s="496"/>
    </row>
    <row r="22" spans="1:36" s="403" customFormat="1" ht="46.5">
      <c r="A22" s="407"/>
      <c r="B22" s="405" t="s">
        <v>577</v>
      </c>
      <c r="C22" s="1" t="s">
        <v>411</v>
      </c>
      <c r="D22" s="473"/>
      <c r="E22" s="455">
        <v>14700000</v>
      </c>
      <c r="F22" s="455">
        <v>14700000</v>
      </c>
      <c r="G22" s="497">
        <f>'ติดตาม งบปี61 จังหวัด (ผ.อ) '!I169</f>
        <v>0</v>
      </c>
      <c r="H22" s="484">
        <f>F22-G22-5679932.4</f>
        <v>9020067.5999999996</v>
      </c>
      <c r="I22" s="633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</row>
    <row r="23" spans="1:36" s="615" customFormat="1" ht="46.5">
      <c r="A23" s="610" t="s">
        <v>561</v>
      </c>
      <c r="B23" s="611" t="s">
        <v>578</v>
      </c>
      <c r="C23" s="612" t="s">
        <v>85</v>
      </c>
      <c r="D23" s="613">
        <v>683400</v>
      </c>
      <c r="E23" s="613">
        <v>39316600</v>
      </c>
      <c r="F23" s="613">
        <v>40000000</v>
      </c>
      <c r="G23" s="626"/>
      <c r="H23" s="614">
        <f>F23-G23</f>
        <v>40000000</v>
      </c>
      <c r="I23" s="634"/>
      <c r="J23" s="690"/>
      <c r="K23" s="690"/>
      <c r="L23" s="690"/>
      <c r="M23" s="690"/>
      <c r="N23" s="690"/>
      <c r="O23" s="690"/>
      <c r="P23" s="690"/>
      <c r="Q23" s="690"/>
      <c r="R23" s="690"/>
      <c r="S23" s="690"/>
      <c r="T23" s="690"/>
      <c r="U23" s="690"/>
      <c r="V23" s="690"/>
      <c r="W23" s="690"/>
      <c r="X23" s="690"/>
      <c r="Y23" s="690"/>
      <c r="Z23" s="690"/>
      <c r="AA23" s="690"/>
      <c r="AB23" s="690"/>
      <c r="AC23" s="690"/>
      <c r="AD23" s="690"/>
      <c r="AE23" s="690"/>
      <c r="AF23" s="690"/>
      <c r="AG23" s="690"/>
    </row>
    <row r="24" spans="1:36" s="403" customFormat="1">
      <c r="A24" s="407"/>
      <c r="B24" s="405" t="s">
        <v>579</v>
      </c>
      <c r="C24" s="406" t="s">
        <v>85</v>
      </c>
      <c r="D24" s="449">
        <v>3769000</v>
      </c>
      <c r="E24" s="455">
        <v>1224900</v>
      </c>
      <c r="F24" s="455">
        <f>D24+E24</f>
        <v>4993900</v>
      </c>
      <c r="G24" s="497">
        <f>'ติดตาม งบปี61 จังหวัด (ผ.อ) '!I209</f>
        <v>3176509</v>
      </c>
      <c r="H24" s="484">
        <f>F24-G24-1817391</f>
        <v>0</v>
      </c>
      <c r="I24" s="633"/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>
        <v>1971475</v>
      </c>
      <c r="AD24" s="519">
        <v>1205034</v>
      </c>
      <c r="AE24" s="519"/>
      <c r="AF24" s="519"/>
      <c r="AG24" s="519"/>
    </row>
    <row r="25" spans="1:36" s="403" customFormat="1">
      <c r="A25" s="407"/>
      <c r="B25" s="405" t="s">
        <v>580</v>
      </c>
      <c r="C25" s="406" t="s">
        <v>85</v>
      </c>
      <c r="D25" s="449"/>
      <c r="E25" s="449">
        <v>10000000</v>
      </c>
      <c r="F25" s="449">
        <v>10000000</v>
      </c>
      <c r="G25" s="597">
        <f>'ติดตาม งบปี61 จังหวัด (ผ.อ) '!I223</f>
        <v>9450000</v>
      </c>
      <c r="H25" s="453">
        <f>F25-G25-550000</f>
        <v>0</v>
      </c>
      <c r="I25" s="632"/>
      <c r="J25" s="696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>
        <v>4725000</v>
      </c>
      <c r="AD25" s="520"/>
      <c r="AE25" s="520"/>
      <c r="AF25" s="520"/>
      <c r="AG25" s="520">
        <f>2835000+1890000</f>
        <v>4725000</v>
      </c>
    </row>
    <row r="26" spans="1:36" s="615" customFormat="1">
      <c r="A26" s="610" t="s">
        <v>561</v>
      </c>
      <c r="B26" s="611" t="s">
        <v>581</v>
      </c>
      <c r="C26" s="612" t="s">
        <v>85</v>
      </c>
      <c r="D26" s="613"/>
      <c r="E26" s="616">
        <v>35280000</v>
      </c>
      <c r="F26" s="616">
        <v>35280000</v>
      </c>
      <c r="G26" s="627"/>
      <c r="H26" s="617">
        <f>F26-G26</f>
        <v>35280000</v>
      </c>
      <c r="I26" s="635"/>
      <c r="J26" s="695"/>
      <c r="K26" s="691"/>
      <c r="L26" s="691"/>
      <c r="M26" s="691"/>
      <c r="N26" s="691"/>
      <c r="O26" s="691"/>
      <c r="P26" s="691"/>
      <c r="Q26" s="691"/>
      <c r="R26" s="691"/>
      <c r="S26" s="691"/>
      <c r="T26" s="691"/>
      <c r="U26" s="691"/>
      <c r="V26" s="691"/>
      <c r="W26" s="691"/>
      <c r="X26" s="691"/>
      <c r="Y26" s="691"/>
      <c r="Z26" s="691"/>
      <c r="AA26" s="691"/>
      <c r="AB26" s="691"/>
      <c r="AC26" s="691"/>
      <c r="AD26" s="691"/>
      <c r="AE26" s="691"/>
      <c r="AF26" s="691"/>
      <c r="AG26" s="691"/>
    </row>
    <row r="27" spans="1:36" s="403" customFormat="1">
      <c r="A27" s="407"/>
      <c r="B27" s="425" t="s">
        <v>412</v>
      </c>
      <c r="C27" s="406"/>
      <c r="D27" s="449"/>
      <c r="E27" s="455"/>
      <c r="F27" s="455"/>
      <c r="G27" s="497"/>
      <c r="H27" s="484"/>
      <c r="I27" s="633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</row>
    <row r="28" spans="1:36" s="403" customFormat="1" ht="46.5">
      <c r="A28" s="407"/>
      <c r="B28" s="405" t="s">
        <v>582</v>
      </c>
      <c r="C28" s="3" t="s">
        <v>529</v>
      </c>
      <c r="D28" s="449">
        <v>22350000</v>
      </c>
      <c r="E28" s="449"/>
      <c r="F28" s="449">
        <f>D28</f>
        <v>22350000</v>
      </c>
      <c r="G28" s="597">
        <v>13717080</v>
      </c>
      <c r="H28" s="453">
        <v>3900000</v>
      </c>
      <c r="I28" s="632">
        <v>5257120</v>
      </c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  <c r="W28" s="496"/>
      <c r="X28" s="496">
        <f>717000+717000+1136880</f>
        <v>2570880</v>
      </c>
      <c r="Y28" s="496"/>
      <c r="Z28" s="496"/>
      <c r="AA28" s="496"/>
      <c r="AB28" s="496">
        <v>597500</v>
      </c>
      <c r="AC28" s="496"/>
      <c r="AD28" s="496">
        <f>3935500</f>
        <v>3935500</v>
      </c>
      <c r="AE28" s="496"/>
      <c r="AF28" s="496">
        <f>34300+1995000+1574200+2361300+648400</f>
        <v>6613200</v>
      </c>
      <c r="AG28" s="496"/>
    </row>
    <row r="29" spans="1:36" s="403" customFormat="1">
      <c r="A29" s="407"/>
      <c r="B29" s="702" t="s">
        <v>110</v>
      </c>
      <c r="C29" s="3"/>
      <c r="D29" s="449"/>
      <c r="E29" s="449"/>
      <c r="F29" s="449">
        <v>9000000</v>
      </c>
      <c r="G29" s="597">
        <v>6286854.7000000002</v>
      </c>
      <c r="H29" s="453">
        <f>2713145.3-I29</f>
        <v>2709924.3</v>
      </c>
      <c r="I29" s="632">
        <v>3221</v>
      </c>
      <c r="J29" s="496">
        <f>26800+1750+700+1400+7000+700+875</f>
        <v>39225</v>
      </c>
      <c r="K29" s="496"/>
      <c r="L29" s="496">
        <f>152189+249964+26000+1750+25200+3150+28000+46833.8+1050+875+1750+1925+1050+7000+2450</f>
        <v>549186.80000000005</v>
      </c>
      <c r="M29" s="496"/>
      <c r="N29" s="496">
        <f>166500+45000+28400+1925+10728+3060+1575+509616.9</f>
        <v>766804.9</v>
      </c>
      <c r="O29" s="496"/>
      <c r="P29" s="496">
        <f>163177+45000+13600+87720+121200+296000+81000+7000+53630.8+1050+7000+1225</f>
        <v>877602.8</v>
      </c>
      <c r="Q29" s="496">
        <v>225128</v>
      </c>
      <c r="R29" s="496">
        <f>153500+45000+27600+2100+2500+10800+15000+700+1575+1400+51484.8+7000+59110.14</f>
        <v>377769.94</v>
      </c>
      <c r="S29" s="496"/>
      <c r="T29" s="496">
        <f>167000+45000+48400+1050+3150+350+48321.8+875+1050+1750+7000</f>
        <v>323946.8</v>
      </c>
      <c r="U29" s="496">
        <v>460000</v>
      </c>
      <c r="V29" s="496">
        <f>164822+45000+1225+1750+280+350+45080+10343.78+46751.1+7000+15273.86</f>
        <v>337875.74</v>
      </c>
      <c r="W29" s="496"/>
      <c r="X29" s="496">
        <f>167000+45000+1400+44195.5+46088+7755.92+1926+700+525+7000</f>
        <v>321590.42</v>
      </c>
      <c r="Y29" s="496"/>
      <c r="Z29" s="496">
        <f>167000+45000+5000+10000+15300+1750+41700+58570.8+82500+1050+1400+1750+1050+7400.08+7000+16800+104580+2100+1750</f>
        <v>571700.88</v>
      </c>
      <c r="AA29" s="496"/>
      <c r="AB29" s="496">
        <f>159333+45000+36500+1225+1255+875+1750+1400+4900+3850+1225+7000+56138.1+1225+1712+875+525+1400+6200+875</f>
        <v>333263.09999999998</v>
      </c>
      <c r="AC29" s="496"/>
      <c r="AD29" s="496">
        <f>166565+45000+27100+12127.55+1400+1750+700+875+1050+700+875+2889+63325.4+1750+1225+875+350+7000+13941.37+1400+1225+1050+1050+875+1400+6940.56+1750</f>
        <v>365188.88</v>
      </c>
      <c r="AE29" s="496"/>
      <c r="AF29" s="496">
        <v>595371.43999999994</v>
      </c>
      <c r="AG29" s="496">
        <f>40000+102200</f>
        <v>142200</v>
      </c>
    </row>
    <row r="30" spans="1:36" s="5" customFormat="1">
      <c r="A30" s="789" t="s">
        <v>583</v>
      </c>
      <c r="B30" s="789"/>
      <c r="C30" s="694"/>
      <c r="D30" s="500">
        <f>D6+D14</f>
        <v>26982400</v>
      </c>
      <c r="E30" s="500">
        <f>E6+E14</f>
        <v>181934500</v>
      </c>
      <c r="F30" s="485">
        <v>133661900</v>
      </c>
      <c r="G30" s="628">
        <f>G6+G14</f>
        <v>54637147.810000002</v>
      </c>
      <c r="H30" s="485">
        <v>131786432.45</v>
      </c>
      <c r="I30" s="628">
        <v>7296843.8299999982</v>
      </c>
      <c r="J30" s="693">
        <f>SUM(J7:J29)</f>
        <v>39225</v>
      </c>
      <c r="K30" s="693">
        <f t="shared" ref="K30:AF30" si="1">SUM(K7:K29)</f>
        <v>0</v>
      </c>
      <c r="L30" s="693">
        <f t="shared" si="1"/>
        <v>549186.80000000005</v>
      </c>
      <c r="M30" s="693">
        <f t="shared" si="1"/>
        <v>0</v>
      </c>
      <c r="N30" s="693">
        <f t="shared" si="1"/>
        <v>766804.9</v>
      </c>
      <c r="O30" s="693">
        <f t="shared" si="1"/>
        <v>0</v>
      </c>
      <c r="P30" s="693">
        <f t="shared" si="1"/>
        <v>877602.8</v>
      </c>
      <c r="Q30" s="693">
        <f t="shared" si="1"/>
        <v>225128</v>
      </c>
      <c r="R30" s="693">
        <f t="shared" si="1"/>
        <v>377769.94</v>
      </c>
      <c r="S30" s="693">
        <f t="shared" si="1"/>
        <v>0</v>
      </c>
      <c r="T30" s="693">
        <f t="shared" si="1"/>
        <v>323946.8</v>
      </c>
      <c r="U30" s="693">
        <f t="shared" si="1"/>
        <v>460000</v>
      </c>
      <c r="V30" s="693">
        <f t="shared" si="1"/>
        <v>458075.74</v>
      </c>
      <c r="W30" s="693">
        <f t="shared" si="1"/>
        <v>0</v>
      </c>
      <c r="X30" s="693">
        <f t="shared" si="1"/>
        <v>2928270.42</v>
      </c>
      <c r="Y30" s="693">
        <f t="shared" si="1"/>
        <v>1071000</v>
      </c>
      <c r="Z30" s="693">
        <f t="shared" si="1"/>
        <v>571700.88</v>
      </c>
      <c r="AA30" s="693">
        <f t="shared" si="1"/>
        <v>0</v>
      </c>
      <c r="AB30" s="693">
        <f t="shared" si="1"/>
        <v>953263.1</v>
      </c>
      <c r="AC30" s="693">
        <f t="shared" si="1"/>
        <v>6696475</v>
      </c>
      <c r="AD30" s="693">
        <f t="shared" si="1"/>
        <v>5505722.8799999999</v>
      </c>
      <c r="AE30" s="693">
        <f t="shared" si="1"/>
        <v>4213875.1400000006</v>
      </c>
      <c r="AF30" s="693">
        <f t="shared" si="1"/>
        <v>7208571.4399999995</v>
      </c>
      <c r="AG30" s="693">
        <f>SUM(AG7:AG29)-6286854.7</f>
        <v>21410528.970000003</v>
      </c>
    </row>
    <row r="31" spans="1:36" hidden="1">
      <c r="B31" s="799" t="s">
        <v>595</v>
      </c>
      <c r="C31" s="799"/>
      <c r="D31" s="540">
        <f>' คุมเบิกประเด็น 1'!D28</f>
        <v>48968000</v>
      </c>
      <c r="E31" s="540">
        <f>' คุมเบิกประเด็น 1'!E28</f>
        <v>12842100</v>
      </c>
      <c r="F31" s="541">
        <f>' คุมเบิกประเด็น 1'!F28</f>
        <v>61810100</v>
      </c>
      <c r="G31" s="629">
        <f>' คุมเบิกประเด็น 1'!G28</f>
        <v>37170288.210000001</v>
      </c>
      <c r="H31" s="542">
        <v>15476234.210000001</v>
      </c>
      <c r="I31" s="697">
        <f>' คุมเบิกประเด็น 1'!I28</f>
        <v>463965.79000000004</v>
      </c>
      <c r="J31" s="700"/>
      <c r="K31" s="700"/>
      <c r="L31" s="700"/>
      <c r="M31" s="700"/>
      <c r="N31" s="700"/>
      <c r="O31" s="700"/>
      <c r="P31" s="700"/>
      <c r="Q31" s="700"/>
      <c r="R31" s="700"/>
      <c r="S31" s="700"/>
      <c r="T31" s="700"/>
      <c r="U31" s="700"/>
      <c r="V31" s="700"/>
      <c r="W31" s="700"/>
      <c r="X31" s="701"/>
      <c r="Y31" s="700"/>
      <c r="Z31" s="700"/>
      <c r="AA31" s="700"/>
      <c r="AB31" s="701"/>
      <c r="AC31" s="701"/>
      <c r="AD31" s="701"/>
      <c r="AE31" s="701"/>
      <c r="AF31" s="701"/>
      <c r="AG31" s="701"/>
      <c r="AH31" s="387"/>
      <c r="AI31" s="387"/>
      <c r="AJ31" s="387"/>
    </row>
    <row r="32" spans="1:36" hidden="1">
      <c r="B32" s="790" t="s">
        <v>576</v>
      </c>
      <c r="C32" s="790"/>
      <c r="D32" s="478">
        <f>'คุมเบิกประเด็น 2 '!D59</f>
        <v>17197240</v>
      </c>
      <c r="E32" s="478">
        <f>'คุมเบิกประเด็น 2 '!E59</f>
        <v>100720800</v>
      </c>
      <c r="F32" s="501">
        <v>159818050</v>
      </c>
      <c r="G32" s="630">
        <f>'คุมเบิกประเด็น 2 '!G59</f>
        <v>35793334.689999998</v>
      </c>
      <c r="H32" s="503">
        <v>94648279.129999995</v>
      </c>
      <c r="I32" s="698">
        <f>'คุมเบิกประเด็น 2 '!I59</f>
        <v>9002714.9299999997</v>
      </c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689"/>
      <c r="Y32" s="422"/>
      <c r="Z32" s="422"/>
      <c r="AA32" s="422"/>
      <c r="AB32" s="689"/>
      <c r="AC32" s="689"/>
      <c r="AD32" s="689"/>
      <c r="AE32" s="689"/>
      <c r="AF32" s="689"/>
      <c r="AG32" s="689"/>
      <c r="AH32" s="387"/>
      <c r="AI32" s="387"/>
      <c r="AJ32" s="387"/>
    </row>
    <row r="33" spans="2:36" hidden="1">
      <c r="B33" s="790" t="s">
        <v>575</v>
      </c>
      <c r="C33" s="790"/>
      <c r="D33" s="478">
        <f>'คุมเบิกประเด็น 3 '!D53</f>
        <v>43688980</v>
      </c>
      <c r="E33" s="478">
        <f>'คุมเบิกประเด็น 3 '!E53</f>
        <v>42531170</v>
      </c>
      <c r="F33" s="501">
        <f>'คุมเบิกประเด็น 3 '!F53</f>
        <v>86220150</v>
      </c>
      <c r="G33" s="630">
        <f>'คุมเบิกประเด็น 3 '!G53</f>
        <v>53978829.079999998</v>
      </c>
      <c r="H33" s="503">
        <v>18022875.420000002</v>
      </c>
      <c r="I33" s="698">
        <f>'คุมเบิกประเด็น 3 '!I53</f>
        <v>6173317.4500000002</v>
      </c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689"/>
      <c r="Y33" s="422"/>
      <c r="Z33" s="422"/>
      <c r="AA33" s="422"/>
      <c r="AB33" s="689"/>
      <c r="AC33" s="689"/>
      <c r="AD33" s="689"/>
      <c r="AE33" s="689"/>
      <c r="AF33" s="689"/>
      <c r="AG33" s="689"/>
      <c r="AH33" s="387"/>
      <c r="AI33" s="387"/>
      <c r="AJ33" s="387"/>
    </row>
    <row r="34" spans="2:36" hidden="1">
      <c r="B34" s="790" t="s">
        <v>583</v>
      </c>
      <c r="C34" s="790"/>
      <c r="D34" s="478">
        <f t="shared" ref="D34:I34" si="2">D30</f>
        <v>26982400</v>
      </c>
      <c r="E34" s="478">
        <f t="shared" si="2"/>
        <v>181934500</v>
      </c>
      <c r="F34" s="501">
        <f>F30</f>
        <v>133661900</v>
      </c>
      <c r="G34" s="630">
        <f t="shared" si="2"/>
        <v>54637147.810000002</v>
      </c>
      <c r="H34" s="503">
        <v>131786432.45</v>
      </c>
      <c r="I34" s="698">
        <f t="shared" si="2"/>
        <v>7296843.8299999982</v>
      </c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689"/>
      <c r="Y34" s="422"/>
      <c r="Z34" s="422"/>
      <c r="AA34" s="422"/>
      <c r="AB34" s="689"/>
      <c r="AC34" s="689"/>
      <c r="AD34" s="689"/>
      <c r="AE34" s="689"/>
      <c r="AF34" s="689"/>
      <c r="AG34" s="689"/>
      <c r="AH34" s="387"/>
      <c r="AI34" s="387"/>
      <c r="AJ34" s="387"/>
    </row>
    <row r="35" spans="2:36" hidden="1">
      <c r="B35" s="791" t="s">
        <v>110</v>
      </c>
      <c r="C35" s="792"/>
      <c r="D35" s="478"/>
      <c r="E35" s="478"/>
      <c r="F35" s="501">
        <v>9000000</v>
      </c>
      <c r="G35" s="630">
        <v>6286854.7000000002</v>
      </c>
      <c r="H35" s="503">
        <v>2709924.3</v>
      </c>
      <c r="I35" s="698">
        <v>3221</v>
      </c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689"/>
      <c r="Y35" s="422"/>
      <c r="Z35" s="422"/>
      <c r="AA35" s="422"/>
      <c r="AB35" s="689"/>
      <c r="AC35" s="689"/>
      <c r="AD35" s="689"/>
      <c r="AE35" s="689"/>
      <c r="AF35" s="689"/>
      <c r="AG35" s="689"/>
      <c r="AH35" s="387"/>
      <c r="AI35" s="387"/>
      <c r="AJ35" s="387"/>
    </row>
    <row r="36" spans="2:36" hidden="1">
      <c r="B36" s="791" t="s">
        <v>638</v>
      </c>
      <c r="C36" s="792"/>
      <c r="D36" s="478"/>
      <c r="E36" s="478"/>
      <c r="F36" s="501">
        <v>104691200</v>
      </c>
      <c r="G36" s="630"/>
      <c r="H36" s="705">
        <v>-104691200</v>
      </c>
      <c r="I36" s="69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689"/>
      <c r="Y36" s="422"/>
      <c r="Z36" s="422"/>
      <c r="AA36" s="422"/>
      <c r="AB36" s="689"/>
      <c r="AC36" s="689"/>
      <c r="AD36" s="689"/>
      <c r="AE36" s="689"/>
      <c r="AF36" s="689"/>
      <c r="AG36" s="689"/>
      <c r="AH36" s="387"/>
      <c r="AI36" s="387"/>
      <c r="AJ36" s="387"/>
    </row>
    <row r="37" spans="2:36" hidden="1">
      <c r="B37" s="789" t="s">
        <v>639</v>
      </c>
      <c r="C37" s="789"/>
      <c r="D37" s="502">
        <f>SUM(D31:D34)</f>
        <v>136836620</v>
      </c>
      <c r="E37" s="502">
        <f>SUM(E31:E34)</f>
        <v>338028570</v>
      </c>
      <c r="F37" s="499">
        <f>SUM(F31:F35)-F36</f>
        <v>345819000</v>
      </c>
      <c r="G37" s="631">
        <f>SUM(G31:G36)</f>
        <v>187866454.49000001</v>
      </c>
      <c r="H37" s="499">
        <f>F37-G37-I37</f>
        <v>135012482.50999999</v>
      </c>
      <c r="I37" s="699">
        <v>22940063</v>
      </c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689"/>
      <c r="Y37" s="422"/>
      <c r="Z37" s="422"/>
      <c r="AA37" s="422"/>
      <c r="AB37" s="689"/>
      <c r="AC37" s="689"/>
      <c r="AD37" s="689"/>
      <c r="AE37" s="689"/>
      <c r="AF37" s="689"/>
      <c r="AG37" s="689"/>
      <c r="AH37" s="387"/>
      <c r="AI37" s="387"/>
      <c r="AJ37" s="387"/>
    </row>
    <row r="38" spans="2:36" hidden="1">
      <c r="B38" s="793" t="s">
        <v>467</v>
      </c>
      <c r="C38" s="512" t="s">
        <v>468</v>
      </c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689"/>
      <c r="Y38" s="422"/>
      <c r="Z38" s="422"/>
      <c r="AA38" s="422"/>
      <c r="AB38" s="689"/>
      <c r="AC38" s="689"/>
      <c r="AD38" s="689"/>
      <c r="AE38" s="689"/>
      <c r="AF38" s="689"/>
      <c r="AG38" s="689"/>
      <c r="AH38" s="387"/>
      <c r="AI38" s="387"/>
      <c r="AJ38" s="387"/>
    </row>
    <row r="39" spans="2:36" hidden="1">
      <c r="B39" s="793"/>
      <c r="C39" s="512" t="s">
        <v>469</v>
      </c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689"/>
      <c r="Y39" s="422"/>
      <c r="Z39" s="422"/>
      <c r="AA39" s="422"/>
      <c r="AB39" s="689"/>
      <c r="AC39" s="689"/>
      <c r="AD39" s="689"/>
      <c r="AE39" s="689"/>
      <c r="AF39" s="689"/>
      <c r="AG39" s="689"/>
      <c r="AH39" s="387"/>
      <c r="AI39" s="387"/>
      <c r="AJ39" s="387"/>
    </row>
    <row r="40" spans="2:36" hidden="1">
      <c r="B40" s="793"/>
      <c r="C40" s="512" t="s">
        <v>470</v>
      </c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689"/>
      <c r="Y40" s="422"/>
      <c r="Z40" s="422"/>
      <c r="AA40" s="422"/>
      <c r="AB40" s="689"/>
      <c r="AC40" s="689"/>
      <c r="AD40" s="689"/>
      <c r="AE40" s="689"/>
      <c r="AF40" s="689"/>
      <c r="AG40" s="689"/>
      <c r="AH40" s="387"/>
      <c r="AI40" s="387"/>
      <c r="AJ40" s="387"/>
    </row>
    <row r="41" spans="2:36" hidden="1">
      <c r="B41" s="794" t="s">
        <v>471</v>
      </c>
      <c r="C41" s="513" t="s">
        <v>472</v>
      </c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689"/>
      <c r="Y41" s="422"/>
      <c r="Z41" s="422"/>
      <c r="AA41" s="422"/>
      <c r="AB41" s="689"/>
      <c r="AC41" s="689"/>
      <c r="AD41" s="689"/>
      <c r="AE41" s="689"/>
      <c r="AF41" s="689"/>
      <c r="AG41" s="689"/>
      <c r="AH41" s="387"/>
      <c r="AI41" s="387"/>
      <c r="AJ41" s="387"/>
    </row>
    <row r="42" spans="2:36" hidden="1">
      <c r="B42" s="794"/>
      <c r="C42" s="513" t="s">
        <v>473</v>
      </c>
      <c r="AH42" s="387"/>
      <c r="AI42" s="387"/>
      <c r="AJ42" s="387"/>
    </row>
    <row r="43" spans="2:36" hidden="1">
      <c r="B43" s="794"/>
      <c r="C43" s="513" t="s">
        <v>474</v>
      </c>
      <c r="AH43" s="387"/>
      <c r="AI43" s="387"/>
      <c r="AJ43" s="387"/>
    </row>
    <row r="44" spans="2:36" hidden="1">
      <c r="B44" s="795" t="s">
        <v>475</v>
      </c>
      <c r="C44" s="514" t="s">
        <v>476</v>
      </c>
      <c r="J44" s="680">
        <f t="shared" ref="J44:AF44" si="3">SUM(J7:J43)</f>
        <v>78450</v>
      </c>
      <c r="K44" s="680">
        <f t="shared" si="3"/>
        <v>0</v>
      </c>
      <c r="L44" s="680">
        <f t="shared" si="3"/>
        <v>1098373.6000000001</v>
      </c>
      <c r="M44" s="680">
        <f t="shared" si="3"/>
        <v>0</v>
      </c>
      <c r="N44" s="680">
        <f t="shared" si="3"/>
        <v>1533609.8</v>
      </c>
      <c r="O44" s="680">
        <f t="shared" si="3"/>
        <v>0</v>
      </c>
      <c r="P44" s="680">
        <f t="shared" si="3"/>
        <v>1755205.6</v>
      </c>
      <c r="Q44" s="680">
        <f t="shared" si="3"/>
        <v>450256</v>
      </c>
      <c r="R44" s="680">
        <f t="shared" si="3"/>
        <v>755539.88</v>
      </c>
      <c r="S44" s="680">
        <f t="shared" si="3"/>
        <v>0</v>
      </c>
      <c r="T44" s="680">
        <f t="shared" si="3"/>
        <v>647893.6</v>
      </c>
      <c r="U44" s="680">
        <f t="shared" si="3"/>
        <v>920000</v>
      </c>
      <c r="V44" s="680">
        <f t="shared" si="3"/>
        <v>916151.48</v>
      </c>
      <c r="W44" s="680">
        <f t="shared" si="3"/>
        <v>0</v>
      </c>
      <c r="X44" s="680">
        <f t="shared" si="3"/>
        <v>5856540.8399999999</v>
      </c>
      <c r="Y44" s="680">
        <f t="shared" si="3"/>
        <v>2142000</v>
      </c>
      <c r="Z44" s="680">
        <f t="shared" si="3"/>
        <v>1143401.76</v>
      </c>
      <c r="AA44" s="680">
        <f t="shared" si="3"/>
        <v>0</v>
      </c>
      <c r="AB44" s="680">
        <f t="shared" si="3"/>
        <v>1906526.2</v>
      </c>
      <c r="AC44" s="680">
        <f t="shared" si="3"/>
        <v>13392950</v>
      </c>
      <c r="AD44" s="680">
        <f t="shared" si="3"/>
        <v>11011445.76</v>
      </c>
      <c r="AE44" s="680">
        <f t="shared" si="3"/>
        <v>8427750.2800000012</v>
      </c>
      <c r="AF44" s="680">
        <f t="shared" si="3"/>
        <v>14417142.879999999</v>
      </c>
      <c r="AG44" s="680">
        <f>SUM(AG7:AG43)</f>
        <v>49107912.640000001</v>
      </c>
      <c r="AH44" s="387"/>
      <c r="AI44" s="387"/>
      <c r="AJ44" s="387"/>
    </row>
    <row r="45" spans="2:36" hidden="1">
      <c r="B45" s="795"/>
      <c r="C45" s="514" t="s">
        <v>477</v>
      </c>
      <c r="AH45" s="387"/>
      <c r="AI45" s="387"/>
      <c r="AJ45" s="387"/>
    </row>
    <row r="46" spans="2:36" hidden="1">
      <c r="B46" s="795"/>
      <c r="C46" s="514" t="s">
        <v>478</v>
      </c>
      <c r="AH46" s="387"/>
      <c r="AI46" s="387"/>
      <c r="AJ46" s="387"/>
    </row>
    <row r="47" spans="2:36" hidden="1">
      <c r="B47" s="796" t="s">
        <v>479</v>
      </c>
      <c r="C47" s="515" t="s">
        <v>480</v>
      </c>
      <c r="AH47" s="387"/>
      <c r="AI47" s="387"/>
      <c r="AJ47" s="387"/>
    </row>
    <row r="48" spans="2:36" hidden="1">
      <c r="B48" s="796"/>
      <c r="C48" s="515" t="s">
        <v>481</v>
      </c>
      <c r="AH48" s="387"/>
      <c r="AI48" s="387"/>
      <c r="AJ48" s="387"/>
    </row>
    <row r="49" spans="2:36" hidden="1">
      <c r="B49" s="796"/>
      <c r="C49" s="515" t="s">
        <v>482</v>
      </c>
      <c r="AH49" s="387"/>
      <c r="AI49" s="387"/>
      <c r="AJ49" s="387"/>
    </row>
    <row r="50" spans="2:36" hidden="1">
      <c r="AH50" s="387"/>
      <c r="AI50" s="387"/>
      <c r="AJ50" s="387"/>
    </row>
    <row r="51" spans="2:36" hidden="1">
      <c r="AH51" s="387"/>
      <c r="AI51" s="387"/>
      <c r="AJ51" s="387"/>
    </row>
    <row r="52" spans="2:36" hidden="1">
      <c r="AH52" s="387"/>
      <c r="AI52" s="387"/>
      <c r="AJ52" s="387"/>
    </row>
    <row r="53" spans="2:36" hidden="1">
      <c r="AH53" s="387"/>
      <c r="AI53" s="387"/>
      <c r="AJ53" s="387"/>
    </row>
    <row r="54" spans="2:36" hidden="1">
      <c r="AH54" s="387"/>
      <c r="AI54" s="387"/>
      <c r="AJ54" s="387"/>
    </row>
    <row r="55" spans="2:36" hidden="1">
      <c r="AH55" s="387"/>
      <c r="AI55" s="387"/>
      <c r="AJ55" s="387"/>
    </row>
    <row r="56" spans="2:36" hidden="1">
      <c r="AH56" s="387"/>
      <c r="AI56" s="387"/>
      <c r="AJ56" s="387"/>
    </row>
    <row r="57" spans="2:36" hidden="1">
      <c r="AH57" s="387"/>
      <c r="AI57" s="387"/>
      <c r="AJ57" s="387"/>
    </row>
    <row r="58" spans="2:36" hidden="1">
      <c r="AH58" s="387"/>
      <c r="AI58" s="387"/>
      <c r="AJ58" s="387"/>
    </row>
    <row r="59" spans="2:36" hidden="1">
      <c r="AH59" s="387"/>
      <c r="AI59" s="387"/>
      <c r="AJ59" s="387"/>
    </row>
    <row r="60" spans="2:36" hidden="1">
      <c r="AH60" s="387"/>
      <c r="AI60" s="387"/>
      <c r="AJ60" s="387"/>
    </row>
    <row r="61" spans="2:36" hidden="1">
      <c r="AH61" s="387"/>
      <c r="AI61" s="387"/>
      <c r="AJ61" s="387"/>
    </row>
    <row r="62" spans="2:36" hidden="1">
      <c r="AH62" s="387"/>
      <c r="AI62" s="387"/>
      <c r="AJ62" s="387"/>
    </row>
    <row r="63" spans="2:36" hidden="1">
      <c r="AH63" s="387"/>
      <c r="AI63" s="387"/>
      <c r="AJ63" s="387"/>
    </row>
    <row r="64" spans="2:36" hidden="1">
      <c r="AH64" s="387"/>
      <c r="AI64" s="387"/>
      <c r="AJ64" s="387"/>
    </row>
    <row r="65" spans="34:36" hidden="1">
      <c r="AH65" s="387"/>
      <c r="AI65" s="387"/>
      <c r="AJ65" s="387"/>
    </row>
    <row r="66" spans="34:36" hidden="1">
      <c r="AH66" s="387"/>
      <c r="AI66" s="387"/>
      <c r="AJ66" s="387"/>
    </row>
    <row r="67" spans="34:36" hidden="1">
      <c r="AH67" s="387"/>
      <c r="AI67" s="387"/>
      <c r="AJ67" s="387"/>
    </row>
    <row r="68" spans="34:36" hidden="1"/>
  </sheetData>
  <dataConsolidate/>
  <mergeCells count="37">
    <mergeCell ref="V2:W2"/>
    <mergeCell ref="X2:Y2"/>
    <mergeCell ref="Z2:AA2"/>
    <mergeCell ref="AB2:AC2"/>
    <mergeCell ref="AF2:AG2"/>
    <mergeCell ref="AD2:AE2"/>
    <mergeCell ref="L2:M2"/>
    <mergeCell ref="N2:O2"/>
    <mergeCell ref="P2:Q2"/>
    <mergeCell ref="R2:S2"/>
    <mergeCell ref="T2:U2"/>
    <mergeCell ref="B41:B43"/>
    <mergeCell ref="B44:B46"/>
    <mergeCell ref="B47:B49"/>
    <mergeCell ref="J2:K2"/>
    <mergeCell ref="I2:I3"/>
    <mergeCell ref="B31:C31"/>
    <mergeCell ref="B32:C32"/>
    <mergeCell ref="B33:C33"/>
    <mergeCell ref="F2:F3"/>
    <mergeCell ref="D2:D3"/>
    <mergeCell ref="E2:E3"/>
    <mergeCell ref="A4:C4"/>
    <mergeCell ref="A12:C12"/>
    <mergeCell ref="A13:B13"/>
    <mergeCell ref="A30:B30"/>
    <mergeCell ref="H2:H3"/>
    <mergeCell ref="B36:C36"/>
    <mergeCell ref="B35:C35"/>
    <mergeCell ref="A1:I1"/>
    <mergeCell ref="B38:B40"/>
    <mergeCell ref="B37:C37"/>
    <mergeCell ref="A2:A3"/>
    <mergeCell ref="B2:B3"/>
    <mergeCell ref="C2:C3"/>
    <mergeCell ref="G2:G3"/>
    <mergeCell ref="B34:C34"/>
  </mergeCells>
  <printOptions horizontalCentered="1"/>
  <pageMargins left="9.8425196850393706E-2" right="9.8425196850393706E-2" top="7.874015748031496E-2" bottom="7.874015748031496E-2" header="0.43307086614173229" footer="0.17"/>
  <pageSetup paperSize="9" scale="76" fitToHeight="0" orientation="landscape" r:id="rId1"/>
  <headerFooter scaleWithDoc="0"/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ติดตาม งบปี61 จังหวัด (ผ.อ) </vt:lpstr>
      <vt:lpstr> คุมเบิกประเด็น 1</vt:lpstr>
      <vt:lpstr>คุมเบิกประเด็น 2 </vt:lpstr>
      <vt:lpstr>คุมเบิกประเด็น 3 </vt:lpstr>
      <vt:lpstr>คุมเบิกยุทธศาสตร์ภาค </vt:lpstr>
      <vt:lpstr>' คุมเบิกประเด็น 1'!Print_Area</vt:lpstr>
      <vt:lpstr>'คุมเบิกประเด็น 2 '!Print_Area</vt:lpstr>
      <vt:lpstr>'คุมเบิกประเด็น 3 '!Print_Area</vt:lpstr>
      <vt:lpstr>'คุมเบิกยุทธศาสตร์ภาค '!Print_Area</vt:lpstr>
      <vt:lpstr>'ติดตาม งบปี61 จังหวัด (ผ.อ) '!Print_Area</vt:lpstr>
      <vt:lpstr>' คุมเบิกประเด็น 1'!Print_Titles</vt:lpstr>
      <vt:lpstr>'คุมเบิกประเด็น 2 '!Print_Titles</vt:lpstr>
      <vt:lpstr>'คุมเบิกประเด็น 3 '!Print_Titles</vt:lpstr>
      <vt:lpstr>'คุมเบิกยุทธศาสตร์ภาค '!Print_Titles</vt:lpstr>
      <vt:lpstr>'ติดตาม งบปี61 จังหวัด (ผ.อ)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2018-10-11T02:24:55Z</cp:lastPrinted>
  <dcterms:created xsi:type="dcterms:W3CDTF">2017-01-06T09:56:25Z</dcterms:created>
  <dcterms:modified xsi:type="dcterms:W3CDTF">2019-06-25T04:46:56Z</dcterms:modified>
</cp:coreProperties>
</file>