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385" yWindow="195" windowWidth="14745" windowHeight="8115" firstSheet="1" activeTab="3"/>
  </bookViews>
  <sheets>
    <sheet name="เบิกจ่าย งบปี 62" sheetId="2" state="hidden" r:id="rId1"/>
    <sheet name=" คุมเบิกประเด็น 1 " sheetId="7" r:id="rId2"/>
    <sheet name=" คุมเบิกประเด็น 2  " sheetId="8" r:id="rId3"/>
    <sheet name="คุมเบิกประเด็น 3 " sheetId="4" r:id="rId4"/>
  </sheets>
  <definedNames>
    <definedName name="_xlnm.Print_Area" localSheetId="1">' คุมเบิกประเด็น 1 '!$A$1:$L$31</definedName>
    <definedName name="_xlnm.Print_Area" localSheetId="2">' คุมเบิกประเด็น 2  '!$A$1:$L$62</definedName>
    <definedName name="_xlnm.Print_Area" localSheetId="3">'คุมเบิกประเด็น 3 '!$A$1:$J$38</definedName>
    <definedName name="_xlnm.Print_Area" localSheetId="0">'เบิกจ่าย งบปี 62'!$A$1:$N$232</definedName>
    <definedName name="_xlnm.Print_Titles" localSheetId="1">' คุมเบิกประเด็น 1 '!$4:$5</definedName>
    <definedName name="_xlnm.Print_Titles" localSheetId="2">' คุมเบิกประเด็น 2  '!$4:$5</definedName>
    <definedName name="_xlnm.Print_Titles" localSheetId="3">'คุมเบิกประเด็น 3 '!$4:$5</definedName>
    <definedName name="_xlnm.Print_Titles" localSheetId="0">'เบิกจ่าย งบปี 62'!$4:$5</definedName>
  </definedNames>
  <calcPr calcId="145621"/>
</workbook>
</file>

<file path=xl/calcChain.xml><?xml version="1.0" encoding="utf-8"?>
<calcChain xmlns="http://schemas.openxmlformats.org/spreadsheetml/2006/main">
  <c r="H49" i="8" l="1"/>
  <c r="H19" i="7"/>
  <c r="G16" i="7" l="1"/>
  <c r="E17" i="4" l="1"/>
  <c r="D17" i="4"/>
  <c r="I29" i="4" l="1"/>
  <c r="I8" i="4"/>
  <c r="I36" i="4" s="1"/>
  <c r="I34" i="8"/>
  <c r="G12" i="8"/>
  <c r="G14" i="8"/>
  <c r="G15" i="8"/>
  <c r="G16" i="8"/>
  <c r="G17" i="8"/>
  <c r="G18" i="8"/>
  <c r="I8" i="8"/>
  <c r="F8" i="8"/>
  <c r="E8" i="8"/>
  <c r="I11" i="7"/>
  <c r="I62" i="8" l="1"/>
  <c r="G39" i="8"/>
  <c r="H39" i="8" s="1"/>
  <c r="G42" i="8"/>
  <c r="H42" i="8" s="1"/>
  <c r="G43" i="8"/>
  <c r="H43" i="8" s="1"/>
  <c r="G45" i="8"/>
  <c r="H45" i="8" s="1"/>
  <c r="G46" i="8"/>
  <c r="H46" i="8" s="1"/>
  <c r="G47" i="8"/>
  <c r="H47" i="8" s="1"/>
  <c r="G50" i="8"/>
  <c r="H50" i="8" s="1"/>
  <c r="G51" i="8"/>
  <c r="H51" i="8" s="1"/>
  <c r="G53" i="8"/>
  <c r="H53" i="8" s="1"/>
  <c r="G54" i="8"/>
  <c r="H54" i="8" s="1"/>
  <c r="G55" i="8"/>
  <c r="H55" i="8" s="1"/>
  <c r="G56" i="8"/>
  <c r="H56" i="8" s="1"/>
  <c r="G57" i="8"/>
  <c r="H57" i="8" s="1"/>
  <c r="G58" i="8"/>
  <c r="H58" i="8" s="1"/>
  <c r="G59" i="8"/>
  <c r="H59" i="8" s="1"/>
  <c r="G60" i="8"/>
  <c r="H60" i="8" s="1"/>
  <c r="G52" i="8"/>
  <c r="H52" i="8" s="1"/>
  <c r="G21" i="7"/>
  <c r="G22" i="7"/>
  <c r="G24" i="7"/>
  <c r="G14" i="7"/>
  <c r="G15" i="7"/>
  <c r="G30" i="8"/>
  <c r="G31" i="8"/>
  <c r="G32" i="8"/>
  <c r="G33" i="8"/>
  <c r="Y25" i="8"/>
  <c r="W61" i="8" l="1"/>
  <c r="M61" i="8"/>
  <c r="H15" i="7" l="1"/>
  <c r="H16" i="7"/>
  <c r="N62" i="8" l="1"/>
  <c r="P62" i="8"/>
  <c r="R62" i="8"/>
  <c r="Z62" i="8"/>
  <c r="AA62" i="8"/>
  <c r="AB62" i="8"/>
  <c r="R30" i="7"/>
  <c r="T30" i="7"/>
  <c r="U30" i="7"/>
  <c r="V30" i="7"/>
  <c r="X30" i="7"/>
  <c r="Y30" i="7"/>
  <c r="Z30" i="7"/>
  <c r="M62" i="8" l="1"/>
  <c r="U61" i="8" l="1"/>
  <c r="Q61" i="8"/>
  <c r="S61" i="8"/>
  <c r="O61" i="8"/>
  <c r="Y29" i="8"/>
  <c r="Y62" i="8" s="1"/>
  <c r="W29" i="8"/>
  <c r="S29" i="8"/>
  <c r="Q29" i="8"/>
  <c r="X41" i="8"/>
  <c r="G41" i="8" s="1"/>
  <c r="H41" i="8" s="1"/>
  <c r="U19" i="4"/>
  <c r="W17" i="7"/>
  <c r="W25" i="8"/>
  <c r="V32" i="4"/>
  <c r="X11" i="8"/>
  <c r="V13" i="8"/>
  <c r="G13" i="8" s="1"/>
  <c r="V10" i="8"/>
  <c r="V36" i="8"/>
  <c r="G36" i="8" s="1"/>
  <c r="U23" i="4"/>
  <c r="S23" i="4"/>
  <c r="V48" i="8"/>
  <c r="G48" i="8" s="1"/>
  <c r="H48" i="8" s="1"/>
  <c r="V44" i="8"/>
  <c r="G44" i="8" s="1"/>
  <c r="H44" i="8" s="1"/>
  <c r="V37" i="8"/>
  <c r="G37" i="8" s="1"/>
  <c r="W18" i="7"/>
  <c r="S18" i="7"/>
  <c r="Q25" i="4"/>
  <c r="Q13" i="4"/>
  <c r="Q14" i="4"/>
  <c r="T40" i="8"/>
  <c r="S13" i="7"/>
  <c r="S30" i="7" s="1"/>
  <c r="Q13" i="7"/>
  <c r="G13" i="7" s="1"/>
  <c r="U28" i="4"/>
  <c r="S28" i="4"/>
  <c r="Q28" i="4"/>
  <c r="O28" i="4"/>
  <c r="M28" i="4"/>
  <c r="G28" i="4" s="1"/>
  <c r="O28" i="8"/>
  <c r="W28" i="8"/>
  <c r="U28" i="8"/>
  <c r="U62" i="8" s="1"/>
  <c r="S28" i="8"/>
  <c r="S62" i="8" s="1"/>
  <c r="Q28" i="8"/>
  <c r="Q62" i="8" s="1"/>
  <c r="G18" i="7" l="1"/>
  <c r="G17" i="7"/>
  <c r="W30" i="7"/>
  <c r="G29" i="8"/>
  <c r="H29" i="8" s="1"/>
  <c r="G28" i="8"/>
  <c r="O62" i="8"/>
  <c r="G40" i="8"/>
  <c r="H40" i="8" s="1"/>
  <c r="T62" i="8"/>
  <c r="G10" i="8"/>
  <c r="V62" i="8"/>
  <c r="G11" i="8"/>
  <c r="X62" i="8"/>
  <c r="G25" i="8"/>
  <c r="W62" i="8"/>
  <c r="F34" i="8"/>
  <c r="E34" i="8"/>
  <c r="G11" i="7" l="1"/>
  <c r="G30" i="7" s="1"/>
  <c r="H17" i="7"/>
  <c r="G8" i="8"/>
  <c r="E26" i="8"/>
  <c r="E62" i="8" s="1"/>
  <c r="D26" i="8"/>
  <c r="G19" i="8"/>
  <c r="G26" i="4"/>
  <c r="F8" i="4"/>
  <c r="D8" i="4"/>
  <c r="G11" i="4"/>
  <c r="H11" i="4" s="1"/>
  <c r="G16" i="4"/>
  <c r="H16" i="4" s="1"/>
  <c r="E8" i="4"/>
  <c r="F17" i="4"/>
  <c r="H21" i="4"/>
  <c r="F29" i="4"/>
  <c r="F26" i="8" l="1"/>
  <c r="H32" i="8"/>
  <c r="H33" i="8" l="1"/>
  <c r="F19" i="8" l="1"/>
  <c r="D19" i="8"/>
  <c r="D8" i="8"/>
  <c r="H18" i="8"/>
  <c r="H17" i="8"/>
  <c r="H16" i="8"/>
  <c r="D23" i="8"/>
  <c r="F23" i="8" s="1"/>
  <c r="F62" i="8" l="1"/>
  <c r="F25" i="7"/>
  <c r="H25" i="7" s="1"/>
  <c r="E11" i="7" l="1"/>
  <c r="D11" i="7"/>
  <c r="H24" i="7"/>
  <c r="H23" i="7"/>
  <c r="H22" i="7"/>
  <c r="M217" i="2" l="1"/>
  <c r="K217" i="2" s="1"/>
  <c r="I27" i="2"/>
  <c r="K202" i="2" l="1"/>
  <c r="M187" i="2" l="1"/>
  <c r="K187" i="2" s="1"/>
  <c r="M170" i="2"/>
  <c r="K170" i="2" s="1"/>
  <c r="M167" i="2"/>
  <c r="K167" i="2" s="1"/>
  <c r="K122" i="2"/>
  <c r="J97" i="2" l="1"/>
  <c r="K164" i="2" l="1"/>
  <c r="M60" i="2" l="1"/>
  <c r="M61" i="2"/>
  <c r="M62" i="2"/>
  <c r="M63" i="2"/>
  <c r="M59" i="2"/>
  <c r="K225" i="2" l="1"/>
  <c r="K193" i="2" l="1"/>
  <c r="J193" i="2"/>
  <c r="K190" i="2"/>
  <c r="J190" i="2"/>
  <c r="K149" i="2"/>
  <c r="K124" i="2"/>
  <c r="J124" i="2"/>
  <c r="J27" i="2"/>
  <c r="K220" i="2" l="1"/>
  <c r="J220" i="2"/>
  <c r="K113" i="2"/>
  <c r="J113" i="2"/>
  <c r="K87" i="2"/>
  <c r="J87" i="2"/>
  <c r="K78" i="2"/>
  <c r="J78" i="2"/>
  <c r="K67" i="2"/>
  <c r="J67" i="2"/>
  <c r="K104" i="2"/>
  <c r="J104" i="2"/>
  <c r="K110" i="2"/>
  <c r="J110" i="2"/>
  <c r="K49" i="2"/>
  <c r="J49" i="2"/>
  <c r="K108" i="2"/>
  <c r="J108" i="2"/>
  <c r="K21" i="2" l="1"/>
  <c r="J21" i="2"/>
  <c r="K19" i="2" l="1"/>
  <c r="J19" i="2"/>
  <c r="J223" i="2" l="1"/>
  <c r="K9" i="2"/>
  <c r="J196" i="2" l="1"/>
  <c r="K196" i="2"/>
  <c r="M37" i="2"/>
  <c r="K34" i="2"/>
  <c r="M40" i="2"/>
  <c r="K40" i="2"/>
  <c r="J40" i="2"/>
  <c r="J31" i="2"/>
  <c r="K31" i="2"/>
  <c r="M155" i="2" l="1"/>
  <c r="M205" i="2" l="1"/>
  <c r="M133" i="2" l="1"/>
  <c r="J152" i="2" l="1"/>
  <c r="J133" i="2"/>
  <c r="K133" i="2"/>
  <c r="K97" i="2"/>
  <c r="L97" i="2"/>
  <c r="M31" i="2" l="1"/>
  <c r="J143" i="2" l="1"/>
  <c r="K11" i="2"/>
  <c r="J34" i="2"/>
  <c r="J37" i="2"/>
  <c r="K37" i="2"/>
  <c r="M34" i="2"/>
  <c r="J202" i="2"/>
  <c r="M202" i="2"/>
  <c r="K158" i="2"/>
  <c r="M158" i="2"/>
  <c r="K138" i="2"/>
  <c r="K130" i="2"/>
  <c r="M130" i="2"/>
  <c r="M127" i="2"/>
  <c r="I10" i="7" s="1"/>
  <c r="I8" i="7" s="1"/>
  <c r="I30" i="7" s="1"/>
  <c r="I37" i="4" s="1"/>
  <c r="K127" i="2"/>
  <c r="K119" i="2"/>
  <c r="M119" i="2" s="1"/>
  <c r="K116" i="2"/>
  <c r="I57" i="2" l="1"/>
  <c r="I55" i="2" s="1"/>
  <c r="K214" i="2" l="1"/>
  <c r="J214" i="2"/>
  <c r="K211" i="2"/>
  <c r="J211" i="2"/>
  <c r="K208" i="2"/>
  <c r="J208" i="2"/>
  <c r="I98" i="2"/>
  <c r="I226" i="2" s="1"/>
  <c r="D100" i="2"/>
  <c r="K100" i="2" s="1"/>
  <c r="K99" i="2"/>
  <c r="J99" i="2"/>
  <c r="K102" i="2"/>
  <c r="J102" i="2"/>
  <c r="K101" i="2"/>
  <c r="J101" i="2"/>
  <c r="K98" i="2"/>
  <c r="J98" i="2"/>
  <c r="K17" i="2"/>
  <c r="J17" i="2"/>
  <c r="K25" i="2"/>
  <c r="J25" i="2"/>
  <c r="J100" i="2" l="1"/>
  <c r="J89" i="2"/>
  <c r="J161" i="2" l="1"/>
  <c r="L27" i="2" l="1"/>
  <c r="K27" i="2" l="1"/>
  <c r="K46" i="2"/>
  <c r="J46" i="2"/>
  <c r="M196" i="2" l="1"/>
  <c r="M116" i="2" l="1"/>
  <c r="E29" i="4" l="1"/>
  <c r="D26" i="4"/>
  <c r="E22" i="4"/>
  <c r="D22" i="4"/>
  <c r="H20" i="4"/>
  <c r="L89" i="2"/>
  <c r="K89" i="2" s="1"/>
  <c r="G10" i="7"/>
  <c r="H10" i="7" s="1"/>
  <c r="H8" i="7" s="1"/>
  <c r="D25" i="7"/>
  <c r="D30" i="7" s="1"/>
  <c r="E8" i="7"/>
  <c r="E36" i="4" l="1"/>
  <c r="M152" i="2"/>
  <c r="K152" i="2" s="1"/>
  <c r="M161" i="2" l="1"/>
  <c r="K161" i="2" s="1"/>
  <c r="L29" i="2"/>
  <c r="L226" i="2" s="1"/>
  <c r="M143" i="2"/>
  <c r="M146" i="2"/>
  <c r="K146" i="2" s="1"/>
  <c r="K143" i="2" l="1"/>
  <c r="K29" i="2"/>
  <c r="D55" i="2" l="1"/>
  <c r="J226" i="2" s="1"/>
  <c r="K226" i="2" l="1"/>
  <c r="J15" i="2"/>
  <c r="J65" i="2"/>
  <c r="J74" i="2"/>
  <c r="J122" i="2" l="1"/>
  <c r="J136" i="2"/>
  <c r="J138" i="2"/>
  <c r="J217" i="2"/>
  <c r="K136" i="2"/>
  <c r="K74" i="2"/>
  <c r="K65" i="2"/>
  <c r="K13" i="2"/>
  <c r="K15" i="2"/>
  <c r="J60" i="2" l="1"/>
  <c r="G10" i="4"/>
  <c r="H15" i="8"/>
  <c r="H21" i="8"/>
  <c r="H19" i="8" s="1"/>
  <c r="H31" i="8"/>
  <c r="G28" i="7"/>
  <c r="H28" i="7" s="1"/>
  <c r="G29" i="7"/>
  <c r="H29" i="7" s="1"/>
  <c r="H20" i="7"/>
  <c r="H21" i="7"/>
  <c r="H10" i="4" l="1"/>
  <c r="H25" i="8"/>
  <c r="G23" i="8"/>
  <c r="G61" i="8"/>
  <c r="H61" i="8" l="1"/>
  <c r="G32" i="4"/>
  <c r="H32" i="4" s="1"/>
  <c r="G35" i="4"/>
  <c r="H35" i="4" s="1"/>
  <c r="G34" i="4"/>
  <c r="H34" i="4" s="1"/>
  <c r="G33" i="4"/>
  <c r="H33" i="4" s="1"/>
  <c r="G31" i="4"/>
  <c r="H38" i="8"/>
  <c r="H37" i="8"/>
  <c r="G27" i="7"/>
  <c r="H27" i="7" s="1"/>
  <c r="G29" i="4" l="1"/>
  <c r="H31" i="4"/>
  <c r="H29" i="4" s="1"/>
  <c r="H36" i="8"/>
  <c r="H34" i="8" s="1"/>
  <c r="H28" i="4"/>
  <c r="G19" i="4"/>
  <c r="H19" i="4" s="1"/>
  <c r="G25" i="4"/>
  <c r="H25" i="4" s="1"/>
  <c r="G24" i="4"/>
  <c r="H24" i="4" s="1"/>
  <c r="G23" i="4"/>
  <c r="G14" i="4"/>
  <c r="H14" i="4" s="1"/>
  <c r="G15" i="4"/>
  <c r="H15" i="4" s="1"/>
  <c r="G13" i="4"/>
  <c r="G8" i="4" s="1"/>
  <c r="H30" i="8"/>
  <c r="H14" i="8"/>
  <c r="H13" i="8"/>
  <c r="H12" i="8"/>
  <c r="H11" i="8"/>
  <c r="H18" i="7"/>
  <c r="G17" i="4" l="1"/>
  <c r="H23" i="4"/>
  <c r="G22" i="4"/>
  <c r="G34" i="8"/>
  <c r="H10" i="8"/>
  <c r="H8" i="8" s="1"/>
  <c r="H28" i="8"/>
  <c r="G26" i="8"/>
  <c r="H26" i="8" s="1"/>
  <c r="H13" i="4"/>
  <c r="H8" i="4" s="1"/>
  <c r="H13" i="7"/>
  <c r="G36" i="4" l="1"/>
  <c r="G62" i="8"/>
  <c r="G37" i="4" s="1"/>
  <c r="H17" i="4"/>
  <c r="F22" i="4"/>
  <c r="F26" i="4"/>
  <c r="H26" i="4" s="1"/>
  <c r="H22" i="4" l="1"/>
  <c r="H36" i="4" s="1"/>
  <c r="F36" i="4"/>
  <c r="H23" i="8"/>
  <c r="H62" i="8" s="1"/>
  <c r="AJ62" i="8"/>
  <c r="AH62" i="8"/>
  <c r="AF62" i="8"/>
  <c r="AD62" i="8"/>
  <c r="D34" i="8"/>
  <c r="D62" i="8" s="1"/>
  <c r="AG62" i="8"/>
  <c r="AE62" i="8"/>
  <c r="AC62" i="8"/>
  <c r="AI62" i="8"/>
  <c r="F8" i="7" l="1"/>
  <c r="Q30" i="7"/>
  <c r="F14" i="7"/>
  <c r="AC30" i="7"/>
  <c r="AE30" i="7"/>
  <c r="E25" i="7"/>
  <c r="E30" i="7" s="1"/>
  <c r="E37" i="4" s="1"/>
  <c r="M30" i="7"/>
  <c r="N30" i="7"/>
  <c r="O30" i="7"/>
  <c r="P30" i="7"/>
  <c r="AA30" i="7"/>
  <c r="AB30" i="7"/>
  <c r="AD30" i="7"/>
  <c r="AF30" i="7"/>
  <c r="AH30" i="7"/>
  <c r="AJ30" i="7"/>
  <c r="D29" i="4"/>
  <c r="D36" i="4" s="1"/>
  <c r="D37" i="4" s="1"/>
  <c r="H14" i="7" l="1"/>
  <c r="H11" i="7" s="1"/>
  <c r="H30" i="7" s="1"/>
  <c r="H37" i="4" s="1"/>
  <c r="F11" i="7"/>
  <c r="F30" i="7" s="1"/>
  <c r="F37" i="4" s="1"/>
  <c r="AI30" i="7"/>
  <c r="AG30" i="7"/>
  <c r="J225" i="2" l="1"/>
  <c r="M223" i="2"/>
  <c r="M226" i="2" s="1"/>
  <c r="K205" i="2"/>
  <c r="J205" i="2"/>
  <c r="K199" i="2"/>
  <c r="J199" i="2"/>
  <c r="J187" i="2"/>
  <c r="K173" i="2"/>
  <c r="J173" i="2"/>
  <c r="J170" i="2"/>
  <c r="J167" i="2"/>
  <c r="J164" i="2"/>
  <c r="J158" i="2"/>
  <c r="K155" i="2"/>
  <c r="J155" i="2"/>
  <c r="J149" i="2"/>
  <c r="J146" i="2"/>
  <c r="K140" i="2"/>
  <c r="J140" i="2"/>
  <c r="J130" i="2"/>
  <c r="J127" i="2"/>
  <c r="J119" i="2"/>
  <c r="J116" i="2"/>
  <c r="K106" i="2"/>
  <c r="J106" i="2"/>
  <c r="K95" i="2"/>
  <c r="J95" i="2"/>
  <c r="K93" i="2"/>
  <c r="J93" i="2"/>
  <c r="K91" i="2"/>
  <c r="J91" i="2"/>
  <c r="K85" i="2"/>
  <c r="J85" i="2"/>
  <c r="J83" i="2"/>
  <c r="K80" i="2"/>
  <c r="J80" i="2"/>
  <c r="K76" i="2"/>
  <c r="J76" i="2"/>
  <c r="K63" i="2"/>
  <c r="J63" i="2"/>
  <c r="K62" i="2"/>
  <c r="J62" i="2"/>
  <c r="K61" i="2"/>
  <c r="J61" i="2"/>
  <c r="K60" i="2"/>
  <c r="K59" i="2"/>
  <c r="J59" i="2"/>
  <c r="K57" i="2"/>
  <c r="J57" i="2"/>
  <c r="K56" i="2"/>
  <c r="J56" i="2"/>
  <c r="K55" i="2"/>
  <c r="K54" i="2"/>
  <c r="J54" i="2"/>
  <c r="K52" i="2"/>
  <c r="J52" i="2"/>
  <c r="K43" i="2"/>
  <c r="J43" i="2"/>
  <c r="J29" i="2"/>
  <c r="K23" i="2"/>
  <c r="J23" i="2"/>
  <c r="J13" i="2"/>
  <c r="J11" i="2"/>
  <c r="J9" i="2"/>
  <c r="L228" i="2" l="1"/>
  <c r="L232" i="2" s="1"/>
  <c r="K223" i="2"/>
  <c r="J55" i="2"/>
</calcChain>
</file>

<file path=xl/comments1.xml><?xml version="1.0" encoding="utf-8"?>
<comments xmlns="http://schemas.openxmlformats.org/spreadsheetml/2006/main">
  <authors>
    <author>Windows User</author>
  </authors>
  <commentList>
    <comment ref="L232" authorId="0">
      <text>
        <r>
          <rPr>
            <b/>
            <sz val="20"/>
            <color indexed="81"/>
            <rFont val="Tahoma"/>
            <family val="2"/>
          </rPr>
          <t>ยอด 3,1050  บาท น่าจะเป็นเงินเหลือจ่าย แต่ยังหายอดไม่เจอ ใส่รวมคงเหลือไว้ก่อน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 xml:space="preserve">Windows User: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ยอดตาม GFMIS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 xml:space="preserve">Windows User: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ยอดตาม GFMIS</t>
        </r>
      </text>
    </comment>
  </commentList>
</comments>
</file>

<file path=xl/comments4.xml><?xml version="1.0" encoding="utf-8"?>
<comments xmlns="http://schemas.openxmlformats.org/spreadsheetml/2006/main">
  <authors>
    <author>Windows User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 xml:space="preserve">Windows User: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ยอดตาม GFMIS</t>
        </r>
      </text>
    </comment>
  </commentList>
</comments>
</file>

<file path=xl/sharedStrings.xml><?xml version="1.0" encoding="utf-8"?>
<sst xmlns="http://schemas.openxmlformats.org/spreadsheetml/2006/main" count="849" uniqueCount="510">
  <si>
    <t>ค่าใช้จ่ายการบริหารงานจังหวัดแบบบูรณาการ ( CEO )</t>
  </si>
  <si>
    <t>งบลงทุน</t>
  </si>
  <si>
    <t>งบดำเนินงาน</t>
  </si>
  <si>
    <t>อ.นครหลวง</t>
  </si>
  <si>
    <t>อ.พระนครศรีอยุธยา</t>
  </si>
  <si>
    <t>สนง.โยธาธิการและผังเมืองจังหวัด</t>
  </si>
  <si>
    <t>11. ก่อสร้างบ่อซีเมนต์เลี้ยงปลานิล กั้นตาข่ายและระบบน้ำ 
โรงเรียนวัดสามเรือน ตำบลสามเรือน อำเภอบางปะอิน 
จังหวัดพระนครศรีอยุธยา</t>
  </si>
  <si>
    <t xml:space="preserve">10. ก่อสร้างบ่อซีเมนต์เลี้ยงปลาดุกกั้นตาข่าย โรงเรียนวัดสามเรือน 
ตำบลสามเรือน อำเภอบางปะอิน  จังหวัดพระนครศรีอยุธยา </t>
  </si>
  <si>
    <t>9. ก่อสร้างบ่อซีเมนต์เลี้ยงปลาดุก โรงเรียนชุมชนวัดบางซ้ายนอก 
ตำบลเต่าเล่า อำเภอบางซ้าย จังหวัดพระนครศรีอยุธยา</t>
  </si>
  <si>
    <t>8. ก่อสร้างบ่อซีเมนต์เลี้ยงปลาดุก โรงเรียนวัดอนุกุญชราราม ตำบลช้างน้อย อำเภอบางไทร  จังหวัดพระนครศรีอยุธยาขนาดกว้าง</t>
  </si>
  <si>
    <t xml:space="preserve">7. ก่อสร้างโรงเปิดเชื้อเห็ด โรงเรียนวัดเปรมปรีชา ตำบลบางกระสั้น อำเภอบางปะอิน จังหวัดพระนครศรีอยุธยา </t>
  </si>
  <si>
    <t>6. ก่อสร้างโรงเรือนเพาะเห็ด โรงเรียนวัดตลาด(อุดมวิทยา) 
ตำบลตลาดเกรียบ  อำเภอบางปะอิน จังหวัดพระนครศรีอยุธยา</t>
  </si>
  <si>
    <t>5. ก่อสร้างโรงเรือนปลูกผักกางมุ้งหลังคาโครงเหล็ก โรงเรียนวัดสนามไชย ตำบลสนามชัย อำเภอบางไทร จังหวัดพระนครศรีอยุธยา</t>
  </si>
  <si>
    <t xml:space="preserve">4. ก่อสร้างโรงเรือนเลี้ยงไก่ไข่ โรงเรียนสอนดี (ประชารัฐอนุสรณ์) 
ตำบลพระยาบันลือ อำเภอลาดบัวหลวง จังหวัดพระนครศรีอยุธยา </t>
  </si>
  <si>
    <t xml:space="preserve">3. ก่อสร้างหลังคาสนามเด็กเล่น โรงเรียนเปรมปรีชา ตำบลเชียงรากน้อย อำเภอบางปะอิน จังหวัดพระนครศรีอยุธยา </t>
  </si>
  <si>
    <t xml:space="preserve">2. ก่อสร้างหลังคาทางเดินหน้าอาคารเรียน โรงเรียนเปรมปรีชา 
ตำบลเชียงรากน้อย  อำเภอบางปะอิน จังหวัดพระนครศรีอยุธยา </t>
  </si>
  <si>
    <t xml:space="preserve">1. ก่อสร้างโรงเรือนพร้อมอุปกรณ์ทำด้วยโครงเหล็ก โรงเรียนวัดสามเรือน ตำบลสามเรือน อำเภอบางปะอิน จังหวัดพรนครศรีอยุธยา </t>
  </si>
  <si>
    <t>ที่ดินและสิ่งก่อสร้าง</t>
  </si>
  <si>
    <t>กิจกรรมย่อย การผลิตกุ้งแม่น้ำปลอดภัย</t>
  </si>
  <si>
    <t>กิจกรรมย่อย ขยายผลโครงการเกษตรเพื่ออาหารกลางวัน</t>
  </si>
  <si>
    <t>ศอ.ปส.จ.อย</t>
  </si>
  <si>
    <t>ท่องเที่ยวและกีฬา</t>
  </si>
  <si>
    <t>กิจกรรมย่อย วันมวยไทยนายขนมต้ม</t>
  </si>
  <si>
    <t>ที่ทำการปกครองจังหวัด</t>
  </si>
  <si>
    <t>คงเหลือ</t>
  </si>
  <si>
    <t>ร้อยละ</t>
  </si>
  <si>
    <t>เบิกจ่าย</t>
  </si>
  <si>
    <t>สิ้นสุด</t>
  </si>
  <si>
    <t>เริ่มต้น</t>
  </si>
  <si>
    <t>ผลการดำเนินงาน</t>
  </si>
  <si>
    <t>เงินเหลือจ่าย
(งบลงทุน)</t>
  </si>
  <si>
    <t>เงินเหลือจ่าย
(งบประจำ)</t>
  </si>
  <si>
    <t>ผลการเบิกจ่าย</t>
  </si>
  <si>
    <t>วงเงินในสัญญา</t>
  </si>
  <si>
    <t>ลงนามในสัญญา</t>
  </si>
  <si>
    <t>จังหวัด 
อนุมัติ</t>
  </si>
  <si>
    <t>สงป.อนุมัติ งปม.</t>
  </si>
  <si>
    <t>หน่วยงานรับผิดชอบ</t>
  </si>
  <si>
    <t>รายละเอียดกิจกรรม</t>
  </si>
  <si>
    <t>ที่</t>
  </si>
  <si>
    <t>กิจกรรมย่อย ยอยศยิ่งฟ้า อยุธยามรดกโลก</t>
  </si>
  <si>
    <t>กิจกรรมย่อย ท่องเที่ยววิถีไทย ไปอยุธยา</t>
  </si>
  <si>
    <t>วัฒนธรรมจังหวัด</t>
  </si>
  <si>
    <t>กิจกรรมย่อย  การส่งเสริมและเพิ่มช่องทางการตลาดผลิตภัณฑ์ชุมชน จังหวัดพระนครศรีอยุธยา</t>
  </si>
  <si>
    <t>สนง.ประชาสัมพันธ์</t>
  </si>
  <si>
    <t>ปศุสัตว์จังหวัด</t>
  </si>
  <si>
    <t>สนง.พัฒนาสังคมและความมั่นคงของมนุษย์จังหวัด/แรงงานจังหวัด</t>
  </si>
  <si>
    <t>สนง.สาธารณสุขจังหวัด</t>
  </si>
  <si>
    <t>.</t>
  </si>
  <si>
    <t>สนง.ประมงจังหวัด</t>
  </si>
  <si>
    <t>สนง.เกษตรจังหวัด</t>
  </si>
  <si>
    <t>สนง.พัฒนาชุมชนจังหวัด</t>
  </si>
  <si>
    <t>สถาบันพัฒนาฝีมือ
แรงงาน 15/แรงงานจังหวัด</t>
  </si>
  <si>
    <t xml:space="preserve">งบลงทุน </t>
  </si>
  <si>
    <t>กิจกรรมย่อย การจัดงานประเพณีแห่เทียนพรรษาทางน้ำ อำเภอเสนา</t>
  </si>
  <si>
    <t>อ.เสนา</t>
  </si>
  <si>
    <t>อ.มหาราช</t>
  </si>
  <si>
    <t>อ.บางไทร</t>
  </si>
  <si>
    <t>อ.ภาชี</t>
  </si>
  <si>
    <t>อ.บางซ้าย</t>
  </si>
  <si>
    <t>อ.บ้านแพรก</t>
  </si>
  <si>
    <t>อ.ท่าเรือ</t>
  </si>
  <si>
    <t>อ.ผักไห่</t>
  </si>
  <si>
    <t>อ.วังน้อย</t>
  </si>
  <si>
    <t>อ.ลาดบัวหลวง</t>
  </si>
  <si>
    <t>อ.บางบาล</t>
  </si>
  <si>
    <t xml:space="preserve"> </t>
  </si>
  <si>
    <t>ค่าครุภัณฑ์</t>
  </si>
  <si>
    <t xml:space="preserve">  </t>
  </si>
  <si>
    <t>อนุมัติครั้งที่ 8 
27 ก.ย. 61</t>
  </si>
  <si>
    <t>อนุมัติครั้งที่ 3 
19 ก.ย. 61</t>
  </si>
  <si>
    <t>อนุมัติครั้งที่ 11
5 ต.ค. 61</t>
  </si>
  <si>
    <t>อนุมัติครั้งที่ 30
17 ต.ค. 61</t>
  </si>
  <si>
    <t>อนุมัติครั้งที่ 7
21 ก.ย. 61</t>
  </si>
  <si>
    <t>อนุมัติครั้งที่ 18
8 ต.ค. 61</t>
  </si>
  <si>
    <t>อนุมัติครั้งที่ 2
19 ก.ย. 61</t>
  </si>
  <si>
    <t>อนุมัติครั้งที่ 10
5 ต.ค. 61</t>
  </si>
  <si>
    <t>อนุมัติครั้งที่ 20
9 ต.ค. 61</t>
  </si>
  <si>
    <t>อนุมัติครั้งที่ 15
5 ต.ค. 61</t>
  </si>
  <si>
    <t>อนุมัติครั้งที่ 16
5 ต.ค. 61</t>
  </si>
  <si>
    <t>อนุมัติครั้งที่ 27
12 ต.ค. 61</t>
  </si>
  <si>
    <t>อนุมัติครั้งที่ 28
12 ต.ค. 61</t>
  </si>
  <si>
    <t>อนุมัติครั้งที่ 1
13 ก.ย. 61</t>
  </si>
  <si>
    <t>อนุมัติครั้งที่ 5
19 ก.ย. 61</t>
  </si>
  <si>
    <t>อนุมัติครั้งที่ 13
5 ต.ค. 61</t>
  </si>
  <si>
    <t>อนุมัติครั้งที่ 12
5 ต.ค. 61</t>
  </si>
  <si>
    <t>อนุมัติครั้งที่ 4
19 ก.ย. 61</t>
  </si>
  <si>
    <t>อนุมัติครั้งที่ 9
2 ต.ค. 61</t>
  </si>
  <si>
    <t>อนุมัติครั้งที่ 6
19 ก.ย. 61</t>
  </si>
  <si>
    <t xml:space="preserve">โครงการตามแผนปฏิบัติราชการประจำปีงบประมาณ พ.ศ. 2562  จังหวัดพระนครศรีอยุธยา  
</t>
  </si>
  <si>
    <t xml:space="preserve">   </t>
  </si>
  <si>
    <t>อนุมัติครั้งที่ 26
12 ต.ค. 61</t>
  </si>
  <si>
    <t>อนุมัติครั้งที่ 19
9 ต.ค. 61</t>
  </si>
  <si>
    <t>อนุมัติครั้งที่ 14
5 ต.ค. 61</t>
  </si>
  <si>
    <t>อนุมัติครั้งที่ 29
16 ต.ค. 61</t>
  </si>
  <si>
    <t>อนุมัติครั้งที่ 17
8 ต.ค. 61</t>
  </si>
  <si>
    <t>อนุมัติครั้งที่ 31
19 ต.ค. 61</t>
  </si>
  <si>
    <t>แขวงทางหลวชนบท
พระนครศรีอยุธยา</t>
  </si>
  <si>
    <t xml:space="preserve">กิจกรรมย่อย การแสดงและการจำหน่ายมหกรรมสินค้าเกษตรปลอดภัย เพื่อส่งเสริมการท่องเที่ยวมรดกโลก จังหวัดพระนครศรีอยุธยา   </t>
  </si>
  <si>
    <t>อนุมัติครั้งที่ 36
29 ต.ค. 61</t>
  </si>
  <si>
    <t>อ.บางปะอิน</t>
  </si>
  <si>
    <t xml:space="preserve">อนุมัติครั้งที่ 23
11 ต.ค. 61
</t>
  </si>
  <si>
    <t>อนุมัติครั้งที่ 35
26 ต.ค. 61</t>
  </si>
  <si>
    <t>อนุมัติครั้งที่ 32
19 ต.ค. 61</t>
  </si>
  <si>
    <t>อนุมัติครั้งที่ 25
12 ต.ค. 61</t>
  </si>
  <si>
    <t>อนุมัติครั้งที่ 21 
11 ต.ค. 61</t>
  </si>
  <si>
    <t>อนุมัติครั้งที่ 33
19 ต.ค. 61</t>
  </si>
  <si>
    <t>อนุมัติครั้งที่ 34
26 ต.ค. 61</t>
  </si>
  <si>
    <t>อยู่ระหว่างประกาศเชิญชวนในระบบ</t>
  </si>
  <si>
    <t>โครงการ-กิจกรรม</t>
  </si>
  <si>
    <t>หน่วยดำเนินการ</t>
  </si>
  <si>
    <t>ผลผลิต : การพัฒนาด้านการท่องเที่ยวและบริการ</t>
  </si>
  <si>
    <t>โครงการส่งเสริมการพัฒนาและฟื้นฟูแหล่งท่องเที่ยว</t>
  </si>
  <si>
    <t>กิจกรรมหลัก ยกระดับและฟื้นฟูแหล่งท่องเที่ยวของจังหวัดพระนครศรีอยุธยา</t>
  </si>
  <si>
    <t>โครงการส่งเสริมกิจกรรมการท่องเที่ยวของจังหวัดพระนครศรีอยุธยา</t>
  </si>
  <si>
    <t>สนง.พาณิชย์จังหวัด</t>
  </si>
  <si>
    <t>โครงการตามแผนชุมชน ด้านเศรษฐกิจเพื่อส่งเสริมการท่องเที่ยว</t>
  </si>
  <si>
    <t>ผลผลิต : การพัฒนาด้านสังคม</t>
  </si>
  <si>
    <t>โครงการพัฒนาและยกระดับความเป็นอยู่ของประชาชนจังหวัดพระนครศรีอยุธยา</t>
  </si>
  <si>
    <t>โครงการตามแผนชุมชน ด้านสังคม</t>
  </si>
  <si>
    <t>ผลผลิต : การพัฒนาด้านเกษตร</t>
  </si>
  <si>
    <t>โครงการส่งเสริมการเกษตรที่มีคุณภาพได้มาตรฐานแบบครบวงจร</t>
  </si>
  <si>
    <t>กิจกรรมหลัก  ฟื้นฟูและพัฒนาแหล่งน้ำ</t>
  </si>
  <si>
    <t>โครงการส่งเสริมการดำเนินงานตามหลักปรัชญาเศรษฐกิจพอเพียง และขยายผลโครงการอันเนื่องมาจากพระราชดำริ</t>
  </si>
  <si>
    <t>โครงการยกระดับการพัฒนาด้านอุตสาหกรรมและศักยภาพกำลังคน</t>
  </si>
  <si>
    <t>กิจกรรมหลัก ส่งเสริมการค้า การลงทุน ภาคอุตสาหกรรมและยกระดับแรงงาน</t>
  </si>
  <si>
    <t>โครงการตามแผนชุมชน ด้านเศรษฐกิจเพื่อส่งเสริมการเกษตร</t>
  </si>
  <si>
    <t>สนจ.อย</t>
  </si>
  <si>
    <t>อำเภอลาดบัวหลวง</t>
  </si>
  <si>
    <t>เกษตรจังหวัด</t>
  </si>
  <si>
    <t>-</t>
  </si>
  <si>
    <t>พัฒนาชุมชนจังหวัด</t>
  </si>
  <si>
    <t>ประมงจังหวัด</t>
  </si>
  <si>
    <t>ส่งคืนเงินเหลือจ่าย</t>
  </si>
  <si>
    <t>งบประมาณ
ได้รับจัดสรร</t>
  </si>
  <si>
    <t>ลำดับที่</t>
  </si>
  <si>
    <t>กิจกรรมหลัก  ปรับปรุงโครงสร้างพื้นฐานในชุมชน</t>
  </si>
  <si>
    <t>กิจกรรมหลัก  การแก้ไขปัญหาสังคมในชุมชนและเมืองของจังหวัดพระนครศรีอยุธยา</t>
  </si>
  <si>
    <t>สนจ.อย.</t>
  </si>
  <si>
    <t>โครงการส่งเสริมการเชิดชูสถาบันพระมหากษัตริย์ และการสร้างความปรองดองสมานฉันท์</t>
  </si>
  <si>
    <t>สนง.ปชส.</t>
  </si>
  <si>
    <t>กิจกรรม 2.2  วันมวยไทยนายขนมต้ม</t>
  </si>
  <si>
    <t>งบประมาณได้รับจัดสรร</t>
  </si>
  <si>
    <t>อำเภอบางปะอิน</t>
  </si>
  <si>
    <t>กิจกรรม 2.1  ยอยศยิ่งฟ้า อยุธยามรดกโลก</t>
  </si>
  <si>
    <t>กิจกรรม 2.3 แข่งขันเรือยาวประเพณีจังหวัดพระนครศรีอยุธยา ชิงถ้วยพระราชทานสมเด็จพระเจ้าอยู่หัว</t>
  </si>
  <si>
    <t>กิจกรรม 2.4 ท่องเที่ยววิถีไทย ไปอยุธยา</t>
  </si>
  <si>
    <t xml:space="preserve">  พาณิชย์จังหวัด</t>
  </si>
  <si>
    <t>กิจกรรม 2.6  ส่งเสริมศักยภาพบุคลากรด้านการท่องเที่ยว</t>
  </si>
  <si>
    <t>กิจกรรมหลัก  พัฒนาและส่งเสริมการท่องเที่ยวเพื่อสร้างรายได้ให้ชุมชน</t>
  </si>
  <si>
    <t>กิจกรรม 3.1 การจัดงานประเพณีแห่เทียนพรรษาทางน้ำ อำเภอเสนา</t>
  </si>
  <si>
    <t>อำเภอเสนา</t>
  </si>
  <si>
    <t>กิจกรรม 3.2 Running วัด วัง วิว @บางปะอิน 2019</t>
  </si>
  <si>
    <t>กิจกรรม 3.3 ประเพณีแห่เทียนพรรษาทางน้ำ อำเภอพระนครศรีอยุธยา</t>
  </si>
  <si>
    <t>อำเภอพระนครศรีอยุธยา</t>
  </si>
  <si>
    <t>ผลผลิต : การบริหารจัดการด้นทรัพยากรธรรมชาติและสิ่งแวดล้อม</t>
  </si>
  <si>
    <t>กิจกรรมหลัก  เสริมสร้างความมั่นคงและปลอดภัยในชีวิตและทรัพย์สินของประชาชน</t>
  </si>
  <si>
    <t>กิจกรรม 4.1  ก่อสร้างเขื่อนป้องกันตลิ่งริมแม่น้ำเจ้าพระยา บริเวณหมู่ที่ 8 ตำบลบ้านป้อม อำเภอพระนครศรีอยุธยา จังหวัดพระนครศรีอยุธยา</t>
  </si>
  <si>
    <t>กิจกรรม 4.2  ก่อสร้างเขื่อนป้องกันตลิ่งริมแม่น้ำเจ้าพระยา บริเวณหมู่ที่ 9 ตำบลบ้านป้อม อำเภอพระนครศรีอยุธยา จังหวัดพระนครศรีอยุธยา</t>
  </si>
  <si>
    <t>กิจกรรม 4.3  ก่อสร้างเขื่อนป้องกันตลิ่งริมคลองลาดงา-ปลายกลัด หมู่ที่ 4 ตำบลลาดงา อำเภอเสนา จังหวัดพระนครศรีอยุธยา</t>
  </si>
  <si>
    <t>โครงการบริหารจัดการทรัพยากรธรรมชาติและสิ่งแวดล้อมของจังหวัดพระนครศรีอยุธยา</t>
  </si>
  <si>
    <t>กิจกรรมหลัก  เสริมสร้างประสิทธิภาพและพัฒนาเมือง/ชุมชนให้น่าอยู่</t>
  </si>
  <si>
    <t>สนง.ทรัพยากรธรรมชาติและสิ่งแวดล้อมจังหวัด</t>
  </si>
  <si>
    <t>กิจกรรมหลัก  เสริมสร้างความปรองดองสมานฉันท์และการเชิดชูสถาบันพระมหากษัตริย์</t>
  </si>
  <si>
    <t>กิจกรรม 6.1 รวมพลังมวลชนเพื่อสร้างความปรองดองสมานฉันท์และสานสัมพันธ์กับนานาชาติ</t>
  </si>
  <si>
    <t>กิจกรรม 7.1 การบริหารจัดการสังคมผู้สูงอายุแบบบูรณาการจังหวัดพระนครศรีอยุธยา</t>
  </si>
  <si>
    <t>กิจกรรม 7.2 พัฒนาบริการสุขภาพในชุมชนรองรับสังคมผู้สูงอายุจังหวัดพระนครศรีอยุธยา</t>
  </si>
  <si>
    <t>กิจกรรม 7.3 การป้องกันและแก้ไขปัญหายาเสพติดจังหวัดพระนครศรีอยุธยา</t>
  </si>
  <si>
    <t>สสจ.อย</t>
  </si>
  <si>
    <t>อำเภอบ้านแพรก</t>
  </si>
  <si>
    <t>กิจกรรม 8.2 ปรับปรุงถนนคอนกรีตเสริมเหล็กเลียบแม่น้ำหน้าโรงเรียนวัดอุโลม หมู่ที่ 3 ตำบลมหาราช อำเภอมหาราช จังหวัดพระนครศรีอยุธยา</t>
  </si>
  <si>
    <t>อำเภอมหาราช</t>
  </si>
  <si>
    <t>กิจกรรม 8.3 ก่อสร้างถนนคอนกรีตเสริมเหล็กซอยบ้านกำนันเพ็ญศรี หมู่ที่ 1 ตำบลมหาราช อำเภอมหาราช จังหวัดพระนครศรีอยุธยา</t>
  </si>
  <si>
    <t>อำเภอท่าเรือ</t>
  </si>
  <si>
    <t>กิจกรรม 8.5 ปรับปรุงถนนคอนกรีตเสริมเหล็ก หมู่ที่ 2 บ้านหนองตาเสือ (เลียบคลองระบายน้ำ 3 ขวา) ฝั่งขวา ตำบลหนองน้ำใส อำเภอภาชี จังหวัดพระนครศรีอยุธยา</t>
  </si>
  <si>
    <t>อำเภอภาชี</t>
  </si>
  <si>
    <t>กิจกรรม 8.6 ก่อสร้างถนนคอนกรีตเสริมเหล็ก หมู่ที่ 4 ตำบลลำตะเคียน อำเภอผักไห่ จังหวัดพระนครศรีอยุธยา</t>
  </si>
  <si>
    <t>อำเภอผักไห่</t>
  </si>
  <si>
    <t>กิจกรรม 8.7 วางท่อบล็อกสี่เหลี่ยมคอนกรีตเสริมเหล็กเพื่อระบายน้ำ หมู่ที่ 1-5 ตำบลบ้านแพน อำเภอเสนา จังหวัดพระนครศรีอยุธยา</t>
  </si>
  <si>
    <t>กิจกรรม 8.8 ก่อสร้างเขื่อนคอนกรีตเสริมเหล็กป้องกันตลิ่ง บริเวณคลองบ่อ เลียบถนนเทศบาล 17 หมู่ที่ 2-3 ตำบลช้างใหญ่ อำเภอบางไทร จังหวัดพระนครศรีอยุธยา</t>
  </si>
  <si>
    <t>อำเภอบางไทร</t>
  </si>
  <si>
    <t>กิจกรรม 8.9 ปรับปรุงถนนคอนกรีตเสริมเหล็กสายเข้าวัดนาคสโมสร หมู่ที่ 4 ตำบลบางพลี อำเภอบางไทร จังหวัดพระนครศรีอยุธยา</t>
  </si>
  <si>
    <t>กิจกรรม 8.10 ปรับปรุงภูมิทัศน์เกาะกลางถนนโรจนะ ช่วง กม.ที่ 0+055 ถึง กม.ที่ 6+719 อำเภอวังน้อย จังหวัดพระนครศรีอยุธยา</t>
  </si>
  <si>
    <t>อำเภอวังน้อย</t>
  </si>
  <si>
    <t>กิจกรรม 8.11 ก่อสร้างถนนคอนกรีตเสริมเหล็ก หมู่ที่ 3 ตำบลปากจั่น อำเภอนครหลวง จังหวัดพระนครศรีอยุธยา</t>
  </si>
  <si>
    <t>อำเภอนครหลวง</t>
  </si>
  <si>
    <t>กิจกรรม 8.14 ปรับปรุงยกระดับถนนคอนกรีตเสริมเหล็กตำบลปากกรานเชื่อมตำบลคลองตะเคียน อำเภอพระนครศรีอยุธยา จังหวัดพระนครศรีอยุธยา</t>
  </si>
  <si>
    <t>กิจกรรม 8.15 ปรับปรุงถนนคอนกรีตเสริมเหล็ก สายหลักในเกาะ หมู่ที่ 2-3 ตำบลเกาะเรียน อำเภอพระนครศรีอยุธยา จังหวัดพระนครศรีอยุธยา</t>
  </si>
  <si>
    <t>กิจกรรม 8.16 ปรับปรุงผิวจราจร สาย อย 2045 แยกทางหลวงหมายเลข 32 - บ้านอุทัย อำเภออุทัย จังหวัดพระนครศรีอยุธยา</t>
  </si>
  <si>
    <t>แขวงทางหลวงชนบท</t>
  </si>
  <si>
    <t>กิจกรรม 8.17 ปรับปรุงผิวจราจรแอสฟัลติกคอนกรีต หมู่ที่ 1 บ้านหนองเป้า 
ตำบลหนองน้ำใส อำเภอภาชี จังหวัดพระนครศรีอยุธยา</t>
  </si>
  <si>
    <t>กิจกรรม 8.18 ก่อสร้างถนนคอนกรีตเสริมเหล็ก หมู่ที่ 1 เชื่อมหมู่ที่ 7 ตำบลพระยาบันลือ อำเภอลาดบัวหลวง จังหวัดพระนครศรีอยุธยา</t>
  </si>
  <si>
    <t>พลังงานจังหวัด</t>
  </si>
  <si>
    <t>กิจกรรมหลัก  ส่งเสริมการตลาดและพัฒนาผลิตภัณฑ์ชุมชนแบบครบวงจร</t>
  </si>
  <si>
    <t>กิจกรรม 10.1 ส่งเสริมช่องทางการจำหน่าย OTOP Outlet สู่ภูมิภาค</t>
  </si>
  <si>
    <t>กิจกรรม 10.2 ส่งเสริมอาชีพและเพิ่มมูลค่าผลิตภัณฑ์จากผักตบชวา</t>
  </si>
  <si>
    <t>กิจกรรม 11.1 ส่งเสริมและพัฒนาสวนพุทราประวัติศาสตร์กรุงศรีอยุธยา</t>
  </si>
  <si>
    <t>กิจกรรม 11.3 ขยายผลโครงการเกษตรเพื่ออาหารกลางวัน</t>
  </si>
  <si>
    <t>กิจกรรม 12.1 สานพลังประชารัฐ ยกระดับศักยภาพกำลังคน ภาคการผลิต การค้าและภาคบริการรองรับการเข้าสู่ Thailand 4.0</t>
  </si>
  <si>
    <t>สถาบันพัฒนาฝีมือแรงงาน 15/แรงงานจังหวัด</t>
  </si>
  <si>
    <t>กิจกรรมหลัก  ส่งเสริมอาชีพในชุมชนและปรับปรุงสิ่งอำนวยความสะดวกเพื่อการเกษตร</t>
  </si>
  <si>
    <t>กิจกรรม 13.2 ก่อสร้างลานคอนกรีตเสริมเหล็กตากพืชผลทางการเกษตร หมู่ที่ 1 ตำบลน้ำเต้า อำเภอบางบาล จังหวัดพระนครศรีอยุธยา</t>
  </si>
  <si>
    <t>อำเภอบางบาล</t>
  </si>
  <si>
    <t>อำเภอบางซ้าย</t>
  </si>
  <si>
    <t>กิจกรรม 13.5 ก่อสร้างประตูระบายน้ำลำรางหมู่ใหญ่ หมู่ที่ 8,12 ตำบลปลายกลัด อำเภอบางซ้าย จังหวัดพระนครศรีอยุธยา</t>
  </si>
  <si>
    <t xml:space="preserve">ผลการเบิกจ่ายของโครงการตามแผนปฏิบัติราชการ ประจำปีงบประมาณ พ.ศ. 2562  จังหวัดพระนครศรีอยุธยา  </t>
  </si>
  <si>
    <t>อนุมัติครั้งที่ 40
16 พ.ย. 61</t>
  </si>
  <si>
    <t>อนุมัติครั้งที่ 43
23 พ.ย. 61</t>
  </si>
  <si>
    <t>สรุปงบประมาณที่เป็นเงินเหลือจ่าย  (งบประจำ) + เงินเหลือจ่าย  (งบลงทุน)</t>
  </si>
  <si>
    <t>สรุปเงินคงเหลือจาก การโอนเปลี่ยนงบประมาณ  (ปรับลด จาก สสจ.อย)</t>
  </si>
  <si>
    <t>กิจกรรม 8.1 ปรับปรุงถนนลาดยางแอลฟัลติกคอนกรีต หมู่ที่ 2,3,4 
ตำบลบ้านใหม่ อำเภอบ้านแพรก จังหวัดพระนครศรีอยุธยา</t>
  </si>
  <si>
    <t>โครงการเพิ่มประสิทธิภาพการจัดการด้านภัยพิบัติ ด้านความมั่นคง 
และโครงสร้างพื้นฐาน</t>
  </si>
  <si>
    <t>กิจกรรม 8.12 ปรับปรุงถนนคอนกรีตเสริมเหล็กเพื่อการเกษตร หมู่ที่ 4
 ตำบลสามเรือน อำเภอบางปะอิน จังหวัดพระนครศรีอยุธยา</t>
  </si>
  <si>
    <t>กิจกรรม 4.4  ก่อสร้างเขื่อนป้องกันตลิ่งริมคลองบางหลวง บริเวณวัดกอไผ่ หมู่ที่ 3 ตำบลบางหลวงโดด อำเภอบางบาล จังหวัดพระนครศรีอยุธยา</t>
  </si>
  <si>
    <t>กิจกรรม 4.5  ปรับปรุงระบบป้องกันน้ำท่วมพื้นที่บริเวณหน้าเจดีย์
พระศรีสุริโยทัย (ระยะที่ 2) ตำบลประตูชัย อำเภอพระนครศรีอยุธยา 
จังหวัดพระนครศรีอยุธยา</t>
  </si>
  <si>
    <t>กิจกรรม 9.1  ติดตั้งชุดสูบน้ำพลังงานแสงอาทิตย์ ตำบลบ้านแพรก 
อำเภอบ้านแพรก</t>
  </si>
  <si>
    <t>โครงการส่งเสริมการสร้างผลิตภัณฑ์ชุมชนโดยใช้ภูมิปัญญาท้องถิ่น 
และนวัตกรรมสู่สากล</t>
  </si>
  <si>
    <t>กิจกรรม 13.1 โรงสูบน้ำพร้อมวางระบบท่อส่งน้ำ หมู่ที่ 6 ตำบลพระนอน 
อำเภอนครหลวง จังหวัดพระนครศรีอยุธยา</t>
  </si>
  <si>
    <t>กิจกรรม 13.3 ก่อสร้างประตูระบายน้ำ ปากลำรางพาดหมอน หมู่ที่ 9 
ตำบลปลายกลัด อำเภอบางซ้าย จังหวัดพระนครศรีอยุธยา</t>
  </si>
  <si>
    <t>กิจกรรม 13.4 ก่อสร้างประตูระบายน้ำทางเข้าลำรางเหนือ/ตะวันตก หมู่ที่ 9 
ตำบลปลายกลัด อำเภอบางซ้าย จังหวัดพระนครศรีอยุธยา</t>
  </si>
  <si>
    <t>กิจกรรม 11.2 พัฒนาการผลิตข้าวในพื้นที่แปลงนาทุ่งมะขามหย่อง 
จังหวัดพระนครศรีอยุธยา</t>
  </si>
  <si>
    <t>อนุมัติครั้งที่ 44
27 พ.ย. 61</t>
  </si>
  <si>
    <t>กิจกรรมย่อย ส่งเสริมช่องทางการจำหน่าย OTOP Outlet สู่ภูมิภาค</t>
  </si>
  <si>
    <t>ค่าครุภัณฑ์
1. ปั๊มน้ำขนาด 1 แรง</t>
  </si>
  <si>
    <t>กิจกรรมย่อย  ส่งเสริมศักยภาพบุคลากร
ด้านการท่องเที่ยว</t>
  </si>
  <si>
    <t>กิจกรรมย่อย เขื่อนป้องกันตลิ่งริมคลองสาธารณะประโยชน์ บริเวณหมู่ที่ 2 
ตำบลพิตเพียน อำเภอมหาราช</t>
  </si>
  <si>
    <t>สรุปงบประมาณขอใช้เงินเหลือจ่าย (มติ ก.บ.จ. ครั้งที่ 8/2561 ลว. 12 ธ.ค. 61)</t>
  </si>
  <si>
    <t>คงเหลือเงินเหลือจ่าย</t>
  </si>
  <si>
    <t>กิจกรรมย่อย การป้องกันและแก้ไขปัญหา
ยาเสพติดจังหวัดพระนครศรีอยุธยา</t>
  </si>
  <si>
    <t xml:space="preserve">กิจกรรมย่อย ส่งเสริมและพัฒนาสวนพุทราประวัติศาสตร์กรุงศรีอยุธยา </t>
  </si>
  <si>
    <t>กิจกรรมย่อย Running วัด วัง วิว 
@บางปะอิน 2019</t>
  </si>
  <si>
    <t>กิจกรรมย่อย วางท่อบล็อกสี่เหลี่ยมคอนกรีตเสริมเหล็กเพื่อระบายน้ำ หมู่ที่ 1- 5 ตำบลบ้านแพน  อำเภอเสนา จังหวัดพระนครศรีอยุธยา</t>
  </si>
  <si>
    <t>กิจกรรมย่อย ปรับปรุงถนนลาดยางแอล
ฟัลติกคอนกรีต หมู่ที่ 2,3,4 ตำบลบ้านใหม่ 
อำเภอบ้านแพรก จังหวัดพระนครศรีอยุธยา</t>
  </si>
  <si>
    <t>อนุมัติครั้งที่ 46
30 พ.ย. 61</t>
  </si>
  <si>
    <t>กิจกรรมย่อย ก่อสร้างถนนคอนกรีตเสริม
เหล็ก หมู่ที่ 1 เชื่อมหมู่ที่ 7 
ตำบลพระยาบันลือ อำเภอลาดบัวหลวง 
จังหวัดพระนครศรีอยุธยา</t>
  </si>
  <si>
    <t>อนุมัติครั้งที่ 50
30 พ.ย. 61</t>
  </si>
  <si>
    <t xml:space="preserve">กิจกรรมย่อย  การผลิตกุ้งแม่น้ำปลอดภัย
ระยะที่ 2 </t>
  </si>
  <si>
    <t>สนง.ปศุสัตว์จังหวัด</t>
  </si>
  <si>
    <t>ดำเนินการแล้วเสร็จ</t>
  </si>
  <si>
    <t>กิจกรรมย่อย ส่งเสริมอาชีพและเพิ่มมูลค่าผลิตภัณฑ์จากผักตบชวา</t>
  </si>
  <si>
    <t xml:space="preserve"> ครุภัณฑ์
  เครื่องตีเส้นใยผักตบชวา จำนวน 6 เครื่อง</t>
  </si>
  <si>
    <t xml:space="preserve">  กี่ทอผ้าคลุมไหล่ จำนวน 2 เครื่อง</t>
  </si>
  <si>
    <t>กิจกรรมย่อย ส่งเสริมการประชาสัมพันธ์ภาพลักษณ์ของจังหวัดพระนครศรีอยุธยา</t>
  </si>
  <si>
    <t>กิจกรรมย่อย สานพลังประชารัฐ ยกระดับศักยภาพกำลังคน ภาคการผลิต การค้าและภาคบริการรองรับการเข้าสู่ Thailand 4.0</t>
  </si>
  <si>
    <t>อนุมัติครั้งที่ 56
3 ม.ค. 62</t>
  </si>
  <si>
    <t>กิจกรรมย่อย ก่อสร้างลานคอนกรีตเสริมเหล็กตากพืชผลทางการเกษตร หมู่ที่ 1 ตำบลน้ำเต้า 
อำเภอบางบาล จังหวัดพระนครศรีอยุธยา</t>
  </si>
  <si>
    <t xml:space="preserve">กิจกรรมย่อย  ก่อสร้างถนนคอนกรีตเสริมเหล็กสายเลียบคลอง 8 ขวา 2  (ฝั่งใต้) หมู่ที่ 1 
ตำบลหันตะเภา อำเภอวังน้อย  </t>
  </si>
  <si>
    <t>กิจกรรมย่อย ปรับปรุงภูมิทัศน์เกาะกลางถนนโรจนะช่วง กม.ที่ 0+055 ถึง กม. ที่ 6+719 
อำเภอวังน้อย จังหวัดพระนครศรีอยุธยา</t>
  </si>
  <si>
    <t>กิจกรรมย่อย ก่อสร้างประตูระบายน้ำทางเข้าลำรางเหนือ/ตะวันตก หมู่ที่ 9 ตำบลปลายกลัด 
อำเภอบางซ้าย จังหวัดพระนครศรีอยุธยา</t>
  </si>
  <si>
    <t>กิจกรรมย่อย ก่อสร้างประตูระบายน้ำ 
ปากลำรางพาดหมอน หมู่ที่ 9 ตำบลปลายกลัด อำเภอบางซ้าย จังหวัดพระนครศรีอยุธยา</t>
  </si>
  <si>
    <t>กิจกรรมย่อย ปรับปรุงถนนคอนกรีตเสริมเหล็ก 
หมู่ที่ 2 บ้านหนองตาเสือ (เลียบคลองระบายน้ำ 3 ขวา) ฝั่งขวา ตำบลหนองน้ำใส อำเภอภาชี 
จังหวัดพระนครศรีอยุธยา</t>
  </si>
  <si>
    <t>กิจกรรมย่อย ก่อสร้างถนนคอนกรีตเสริมเหล็ก 
หมู่ที่ 3 ตำบลปากจั่น อำเภอนครหลวง 
จังหวัดพระนครศรีอยุธยา</t>
  </si>
  <si>
    <t>กิจกรรมย่อย ปรับปรุงถนนคอนกรีตเสริมเหล็กสายเข้าวัดนาคสโมสร หมู่ที่ 4 ตำบลบางพลี 
อำเภอบางไทร  จังหวัดพระนครศรีอยุธยา</t>
  </si>
  <si>
    <t>กิจกรรมย่อย ก่อสร้างถนนคอนกรีตเสริมเหล็กซอยบ้านกำนันเพ็ญศรี หมู่ที่ 1  ตำบลมหาราช 
อำเภอมหาราช จังหวัดพระนครศรีอยุธยา</t>
  </si>
  <si>
    <t>กิจกรรมย่อย  ปรับปรุงก่อสร้างถนนคอนกรีตเสริมเหล็กซอยคลองเปรมตะวันออก หมู่ที่ 10 
ตำบลเชียงรากน้อย อำเภอบางปะอิน
จังหวัดพระนครศรีอยุธยา</t>
  </si>
  <si>
    <t>กิจกรรมย่อย ปรับปรุงถนนคอนกรีตเสริมเหล็ก 
สายหลักในเกาะ หมู่ที่ 2 - 3 ตำบลเกาะเรียน 
อำเภอพระนครศรีอยุธยา จังหวัดพระนครศรีอยุธยา</t>
  </si>
  <si>
    <t>กิจกรรมย่อย ปรับปรุงยกระดับถนนคอนกรีตเสริมเหล็กตำบลปากกรานเชื่อม ตำบลคลองตะเคียน 
อำเภอพระนครศรีอยุธยา จังหวัดพระนครศรีอยุธยา</t>
  </si>
  <si>
    <t>กิจกรรมย่อย  พัฒนาการผลิตข้าวในพื้นที่แปลงนาทุ่งมะขามหย่อง  จังหวัดพระนครศรีอยุธยา</t>
  </si>
  <si>
    <t>กิจกรรมย่อย  ปรับปรุงผิวจราจร สาย อย 2045 แยกทางหลวงหมายเลข 32 -บ้านอุทัย 
อำเภออุทัยจังหวัดพระนครศรีอยุธยา</t>
  </si>
  <si>
    <t>กิจกรรมย่อย ติดตั้งชุดสูบน้ำพลังงานแสงอาทิตย์ ตำบลบ้านแพรก อำเภอบ้านแพรก</t>
  </si>
  <si>
    <t>กิจกรรมย่อย การบริหารจัดการสังคมผู้สูงอายุ
แบบบูรณาการจังหวัดพระนครศรีอยุธยา</t>
  </si>
  <si>
    <t>กิจกรรมย่อย ก่อสร้างเขื่อนป้องกันตลิ่งริม
คลองลาดงา-ปลายกลัด หมู่ที่ 4 ตำบลลาดงา 
อำเภอเสนา จังหวัดพระนครศรีอยุธยา</t>
  </si>
  <si>
    <t>กิจกรรมย่อย ก่อสร้างเขื่อนป้องกันตลิ่งริมแม่น้ำเจ้าพระยา บริเวณหมู่ที่ 9 ตำบลบ้านป้อม 
อำเภอพระนครศรีอยุธยา จังหวัดพระนครศรีอยุธยา</t>
  </si>
  <si>
    <t>กิจกรรมย่อย แข่งขันเรือยาวประเพณีจังหวัดพระนครศรีอยุธยา ชิงถ้วยพระราชทาน
สมเด็จพระเจ้าอยู่หัว</t>
  </si>
  <si>
    <t>กิจกรรมย่อย ปรับปรุงถนนคอนกรีตเสริมเหล็กเพื่อการเกษตร หมู่ที่ 4 ตำบลสามเรือน 
อำเภอบางปะอิน จังหวัดพระนครศรีอยุธยา</t>
  </si>
  <si>
    <t xml:space="preserve">กิจกรรมย่อย ก่อสร้างถนนคอนกรีตเสริมเหล็กสายเลียบคลอง 8 ขวา 2   (ฝั่งเหนือ)  หมู่ที่ 4 
ตำบลหันตะเภา อำเภอวังน้อย  </t>
  </si>
  <si>
    <r>
      <t xml:space="preserve">ค่าที่ดินและสิ่งก่อสร้าง
 </t>
    </r>
    <r>
      <rPr>
        <sz val="30"/>
        <rFont val="TH SarabunPSK"/>
        <family val="2"/>
      </rPr>
      <t xml:space="preserve">  </t>
    </r>
    <r>
      <rPr>
        <b/>
        <sz val="30"/>
        <rFont val="TH SarabunPSK"/>
        <family val="2"/>
      </rPr>
      <t>รายการ</t>
    </r>
    <r>
      <rPr>
        <sz val="30"/>
        <rFont val="TH SarabunPSK"/>
        <family val="2"/>
      </rPr>
      <t xml:space="preserve"> ก่อสร้างเขื่อนป้องกันตลิ่งริม
คลองลาดงา-ปลายกลัด หมู่ที่ 4 ตำบลลาดงา 
อำเภอเสนา จังหวัดพระนครศรีอยุธยา </t>
    </r>
  </si>
  <si>
    <r>
      <rPr>
        <b/>
        <sz val="30"/>
        <rFont val="TH SarabunPSK"/>
        <family val="2"/>
      </rPr>
      <t>ค่าที่ดินและสิ่งก่อสร้าง</t>
    </r>
    <r>
      <rPr>
        <sz val="30"/>
        <rFont val="TH SarabunPSK"/>
        <family val="2"/>
      </rPr>
      <t xml:space="preserve">
   รายการ  ก่อสร้างเขื่อนป้องกันตลิ่งริมคลองสาธารณะประโยชน์บริเวณหมู่ที่ 2 ตำบลพิตเพียน อำเภอมหาราช</t>
    </r>
  </si>
  <si>
    <r>
      <rPr>
        <b/>
        <sz val="30"/>
        <rFont val="TH SarabunPSK"/>
        <family val="2"/>
      </rPr>
      <t>ค่าที่ดินและสิ่งก่อสร้าง</t>
    </r>
    <r>
      <rPr>
        <sz val="30"/>
        <rFont val="TH SarabunPSK"/>
        <family val="2"/>
      </rPr>
      <t xml:space="preserve">
    </t>
    </r>
    <r>
      <rPr>
        <b/>
        <sz val="30"/>
        <rFont val="TH SarabunPSK"/>
        <family val="2"/>
      </rPr>
      <t>รายการ</t>
    </r>
    <r>
      <rPr>
        <sz val="30"/>
        <rFont val="TH SarabunPSK"/>
        <family val="2"/>
      </rPr>
      <t xml:space="preserve"> ปรับปรุงยกระดับถนนคอนกรีตเสริมเหล็กตำบลปากกรานเชื่อมตำบลคลองตะเคียน 
อำเภอพระนครศรีอยุธยา จังหวัดพระนครศรีอยุธยา</t>
    </r>
  </si>
  <si>
    <r>
      <rPr>
        <b/>
        <sz val="30"/>
        <rFont val="TH SarabunPSK"/>
        <family val="2"/>
      </rPr>
      <t>ค่าที่ดินและสิ่งก่อสร้าง</t>
    </r>
    <r>
      <rPr>
        <u val="double"/>
        <sz val="30"/>
        <rFont val="TH SarabunPSK"/>
        <family val="2"/>
      </rPr>
      <t xml:space="preserve">
</t>
    </r>
    <r>
      <rPr>
        <sz val="30"/>
        <rFont val="TH SarabunPSK"/>
        <family val="2"/>
      </rPr>
      <t xml:space="preserve">    </t>
    </r>
    <r>
      <rPr>
        <b/>
        <sz val="30"/>
        <rFont val="TH SarabunPSK"/>
        <family val="2"/>
      </rPr>
      <t>รายการ</t>
    </r>
    <r>
      <rPr>
        <sz val="30"/>
        <rFont val="TH SarabunPSK"/>
        <family val="2"/>
      </rPr>
      <t xml:space="preserve"> ปรับปรุงถนนคอนกรีตเสริมเหล็ก 
สายหลักในเกาะ หมู่ที่ 2 - 3 ตำบลเกาะเรียน 
อำเภอพระนครศรีอยุธยา จังหวัดพระนครศรีอยุธยา</t>
    </r>
  </si>
  <si>
    <r>
      <rPr>
        <b/>
        <sz val="30"/>
        <rFont val="TH SarabunPSK"/>
        <family val="2"/>
      </rPr>
      <t>ค่าที่ดินและสิ่งก่อสร้าง</t>
    </r>
    <r>
      <rPr>
        <sz val="30"/>
        <rFont val="TH SarabunPSK"/>
        <family val="2"/>
      </rPr>
      <t xml:space="preserve">
   </t>
    </r>
    <r>
      <rPr>
        <b/>
        <sz val="30"/>
        <rFont val="TH SarabunPSK"/>
        <family val="2"/>
      </rPr>
      <t>รายการ</t>
    </r>
    <r>
      <rPr>
        <sz val="30"/>
        <rFont val="TH SarabunPSK"/>
        <family val="2"/>
      </rPr>
      <t xml:space="preserve"> ปรับปรุงภูมิทัศน์ประภาคารเกาะวัดนิเวศธรรมประวัติราชวรวิหาร และบริเวณโดยรอบหมู่ที่ 12ตำบลบ้านเลน อำเภอบางปะอิน 
จังหวัดพระนครศรีอยุธยา 1 แห่ง</t>
    </r>
  </si>
  <si>
    <r>
      <t xml:space="preserve">ค่าที่ดินและสิ่งก่อสร้าง
   รายการ  </t>
    </r>
    <r>
      <rPr>
        <sz val="30"/>
        <rFont val="TH SarabunPSK"/>
        <family val="2"/>
      </rPr>
      <t>วางท่อบล็อกสี่เหลี่ยมคอนกรีตเสริมเหล็กเพื่อระบายน้ำ หมู่ที่ 1 - 5 ตำบลบ้านแพน อำเภอเสนา จังหวัดพระนครศรีอยุธยา จำนวน 19 จุด</t>
    </r>
  </si>
  <si>
    <t>กิจกรรมย่อย ก่อสร้างเขื่อนคอนกรีตเสริมเหล็กป้องกันตลิ่ง บริเวณคลองบ่อเลียบ ถนนเทศบาล 17 หมู่ที่ 2-3ตำบลช้างใหญ่ อำเภอบางไทร 
จังหวัดพระนครศรีอยุธยา</t>
  </si>
  <si>
    <r>
      <rPr>
        <b/>
        <sz val="30"/>
        <rFont val="TH SarabunPSK"/>
        <family val="2"/>
      </rPr>
      <t>ค่าที่ดินและสิ่งก่อสร้าง</t>
    </r>
    <r>
      <rPr>
        <sz val="30"/>
        <rFont val="TH SarabunPSK"/>
        <family val="2"/>
      </rPr>
      <t xml:space="preserve">
    </t>
    </r>
    <r>
      <rPr>
        <b/>
        <sz val="30"/>
        <rFont val="TH SarabunPSK"/>
        <family val="2"/>
      </rPr>
      <t>รายการ</t>
    </r>
    <r>
      <rPr>
        <sz val="30"/>
        <rFont val="TH SarabunPSK"/>
        <family val="2"/>
      </rPr>
      <t xml:space="preserve">  ปรับปรุงถนนคอนกรีตเสริมเหล็กสายเข้าวัดนาคสโมสร หมู่ที่ 4 ตำบลบางพลี  อำเภอบางไทร จังหวัดพระนครศรีอยุธยา</t>
    </r>
  </si>
  <si>
    <r>
      <rPr>
        <b/>
        <sz val="30"/>
        <rFont val="TH SarabunPSK"/>
        <family val="2"/>
      </rPr>
      <t>ค่าที่ดินและสิ่งก่อสร้าง</t>
    </r>
    <r>
      <rPr>
        <sz val="30"/>
        <rFont val="TH SarabunPSK"/>
        <family val="2"/>
      </rPr>
      <t xml:space="preserve">
  </t>
    </r>
    <r>
      <rPr>
        <b/>
        <sz val="30"/>
        <rFont val="TH SarabunPSK"/>
        <family val="2"/>
      </rPr>
      <t xml:space="preserve"> รายการ</t>
    </r>
    <r>
      <rPr>
        <sz val="30"/>
        <rFont val="TH SarabunPSK"/>
        <family val="2"/>
      </rPr>
      <t xml:space="preserve"> โรงสูบน้ำพร้อมวางระบบท่อส่งน้ำ หมู่ที่ 6  ตำบลพระนอน  อำเภอนครหลวง 
จังหวัดพระนครศรีอยุธยา 1 แห่ง</t>
    </r>
  </si>
  <si>
    <t>กิจกรรมย่อย ปรับปรุงถนนผิวจราจรแอสฟัลติก
คอนกรีต หมู่ที่ 1 บ้านหนองเป้า ตำบลหนองน้ำใส อำเภอภาชี จังหวัดพระนครศรีอยุธยา</t>
  </si>
  <si>
    <r>
      <rPr>
        <b/>
        <sz val="30"/>
        <rFont val="TH SarabunPSK"/>
        <family val="2"/>
      </rPr>
      <t>ค่าที่ดินและสิ่งก่อสร้าง</t>
    </r>
    <r>
      <rPr>
        <u/>
        <sz val="30"/>
        <rFont val="TH SarabunPSK"/>
        <family val="2"/>
      </rPr>
      <t xml:space="preserve">
</t>
    </r>
    <r>
      <rPr>
        <sz val="30"/>
        <rFont val="TH SarabunPSK"/>
        <family val="2"/>
      </rPr>
      <t xml:space="preserve">    </t>
    </r>
    <r>
      <rPr>
        <b/>
        <sz val="30"/>
        <rFont val="TH SarabunPSK"/>
        <family val="2"/>
      </rPr>
      <t>รายการ</t>
    </r>
    <r>
      <rPr>
        <sz val="30"/>
        <rFont val="TH SarabunPSK"/>
        <family val="2"/>
      </rPr>
      <t xml:space="preserve">  ปรับปรุงถนนผิวจราจรแอสฟัลติก
คอนกรีต หมู่ที่ 1 บ้านหนองเป้า ตำบลหนองน้ำใส อำเภอภาชี จังหวัดพระนครศรีอยุธยา </t>
    </r>
  </si>
  <si>
    <r>
      <rPr>
        <b/>
        <sz val="30"/>
        <rFont val="TH SarabunPSK"/>
        <family val="2"/>
      </rPr>
      <t>ค่าที่ดินและสิ่งก่อสร้าง</t>
    </r>
    <r>
      <rPr>
        <b/>
        <u/>
        <sz val="30"/>
        <rFont val="TH SarabunPSK"/>
        <family val="2"/>
      </rPr>
      <t xml:space="preserve">
</t>
    </r>
    <r>
      <rPr>
        <b/>
        <sz val="30"/>
        <rFont val="TH SarabunPSK"/>
        <family val="2"/>
      </rPr>
      <t xml:space="preserve"> </t>
    </r>
    <r>
      <rPr>
        <sz val="30"/>
        <rFont val="TH SarabunPSK"/>
        <family val="2"/>
      </rPr>
      <t xml:space="preserve">  </t>
    </r>
    <r>
      <rPr>
        <b/>
        <sz val="30"/>
        <rFont val="TH SarabunPSK"/>
        <family val="2"/>
      </rPr>
      <t>รายการ</t>
    </r>
    <r>
      <rPr>
        <sz val="30"/>
        <rFont val="TH SarabunPSK"/>
        <family val="2"/>
      </rPr>
      <t xml:space="preserve"> ก่อสร้างประตูระบายน้ำ ปากลำรางพาดหมอน หมู่ที่ 9 ตำบลปลายกลัด อำเภอบางซ้าย 
จังหวัดพระนครศรีอยุธยา 1 แห่ง</t>
    </r>
  </si>
  <si>
    <r>
      <rPr>
        <b/>
        <sz val="30"/>
        <color theme="1"/>
        <rFont val="TH SarabunPSK"/>
        <family val="2"/>
      </rPr>
      <t>ค่าที่ดินและสิ่งก่อสร้าง</t>
    </r>
    <r>
      <rPr>
        <sz val="30"/>
        <color theme="1"/>
        <rFont val="TH SarabunPSK"/>
        <family val="2"/>
      </rPr>
      <t xml:space="preserve">
</t>
    </r>
    <r>
      <rPr>
        <b/>
        <sz val="30"/>
        <color theme="1"/>
        <rFont val="TH SarabunPSK"/>
        <family val="2"/>
      </rPr>
      <t xml:space="preserve">   </t>
    </r>
    <r>
      <rPr>
        <sz val="30"/>
        <color theme="1"/>
        <rFont val="TH SarabunPSK"/>
        <family val="2"/>
      </rPr>
      <t xml:space="preserve"> </t>
    </r>
    <r>
      <rPr>
        <b/>
        <sz val="30"/>
        <color theme="1"/>
        <rFont val="TH SarabunPSK"/>
        <family val="2"/>
      </rPr>
      <t>รายการ</t>
    </r>
    <r>
      <rPr>
        <sz val="30"/>
        <color theme="1"/>
        <rFont val="TH SarabunPSK"/>
        <family val="2"/>
      </rPr>
      <t xml:space="preserve">  ก่อสร้างประตูระบายน้ำทางเข้าลำรางเหนือ/ตะวันตก หมู่ที่ 9 ตำบลปลายกลัด อำเภอบางซ้าย จังหวัดพระนครศรีอยุธยา 1 แห่ง</t>
    </r>
  </si>
  <si>
    <r>
      <rPr>
        <b/>
        <sz val="30"/>
        <rFont val="TH SarabunPSK"/>
        <family val="2"/>
      </rPr>
      <t>ค่าที่ดินและสิ่งก่อสร้าง</t>
    </r>
    <r>
      <rPr>
        <b/>
        <u val="double"/>
        <sz val="30"/>
        <rFont val="TH SarabunPSK"/>
        <family val="2"/>
      </rPr>
      <t xml:space="preserve">
</t>
    </r>
    <r>
      <rPr>
        <sz val="30"/>
        <rFont val="TH SarabunPSK"/>
        <family val="2"/>
      </rPr>
      <t xml:space="preserve">   </t>
    </r>
    <r>
      <rPr>
        <b/>
        <sz val="30"/>
        <rFont val="TH SarabunPSK"/>
        <family val="2"/>
      </rPr>
      <t>รายการ</t>
    </r>
    <r>
      <rPr>
        <sz val="30"/>
        <rFont val="TH SarabunPSK"/>
        <family val="2"/>
      </rPr>
      <t xml:space="preserve">  ปรับปรุงถนนลาดยางแอลฟัล
ติกคอนกรีต หมู่ที่ 2,3,4  ตำบลบ้านใหม่ 
อำเภอบ้านแพรก จังหวัดพระนครศรีอยุธยา</t>
    </r>
  </si>
  <si>
    <t>กิจกรรมย่อย ก่อสร้างถนนคอนกรีตเสริมเหล็ก หมู่ที่ 4 ตำบลลำตะเคียน อำเภอผักไห่ 
จังหวัดพระนครศรีอยุธยา</t>
  </si>
  <si>
    <r>
      <rPr>
        <b/>
        <sz val="30"/>
        <rFont val="TH SarabunPSK"/>
        <family val="2"/>
      </rPr>
      <t>ค่าที่ดินและสิ่งก่อสร้าง</t>
    </r>
    <r>
      <rPr>
        <u val="double"/>
        <sz val="30"/>
        <rFont val="TH SarabunPSK"/>
        <family val="2"/>
      </rPr>
      <t xml:space="preserve">
</t>
    </r>
    <r>
      <rPr>
        <sz val="30"/>
        <rFont val="TH SarabunPSK"/>
        <family val="2"/>
      </rPr>
      <t xml:space="preserve">   </t>
    </r>
    <r>
      <rPr>
        <b/>
        <sz val="30"/>
        <rFont val="TH SarabunPSK"/>
        <family val="2"/>
      </rPr>
      <t>รายการ</t>
    </r>
    <r>
      <rPr>
        <sz val="30"/>
        <rFont val="TH SarabunPSK"/>
        <family val="2"/>
      </rPr>
      <t xml:space="preserve"> ปรับปรุงภูมิทัศน์เกาะกลางถนนโรจนะ 
ช่วง กม.ที่ 0+055 ถึง กม. ที่ 6+719 
อำเภอวังน้อย จังหวัดพระนครศรีอยุธยา </t>
    </r>
  </si>
  <si>
    <r>
      <rPr>
        <b/>
        <sz val="30"/>
        <rFont val="TH SarabunPSK"/>
        <family val="2"/>
      </rPr>
      <t>ค่าที่ดินและสิ่งก่อสร้าง</t>
    </r>
    <r>
      <rPr>
        <sz val="30"/>
        <rFont val="TH SarabunPSK"/>
        <family val="2"/>
      </rPr>
      <t xml:space="preserve">
  </t>
    </r>
    <r>
      <rPr>
        <b/>
        <sz val="30"/>
        <rFont val="TH SarabunPSK"/>
        <family val="2"/>
      </rPr>
      <t>รายการ</t>
    </r>
    <r>
      <rPr>
        <sz val="30"/>
        <rFont val="TH SarabunPSK"/>
        <family val="2"/>
      </rPr>
      <t xml:space="preserve"> ปรับปรุงผิวจราจร สาย อย 2045 
แยกทางหลวงหมายเลข 32 -บ้านอุทัย  
อำเภออุทัย จังหวัดพระนครศรีอยุธยา</t>
    </r>
  </si>
  <si>
    <r>
      <rPr>
        <b/>
        <sz val="30"/>
        <rFont val="TH SarabunPSK"/>
        <family val="2"/>
      </rPr>
      <t>ค่าที่ดินและสิ่งก่อสร้าง</t>
    </r>
    <r>
      <rPr>
        <sz val="30"/>
        <rFont val="TH SarabunPSK"/>
        <family val="2"/>
      </rPr>
      <t xml:space="preserve">
   </t>
    </r>
    <r>
      <rPr>
        <b/>
        <sz val="30"/>
        <rFont val="TH SarabunPSK"/>
        <family val="2"/>
      </rPr>
      <t>รายการ</t>
    </r>
    <r>
      <rPr>
        <sz val="30"/>
        <rFont val="TH SarabunPSK"/>
        <family val="2"/>
      </rPr>
      <t xml:space="preserve">  ปรับปรุงก่อสร้างถนนคอนกรีตเสริมเหล็กซอยคลองเปรมตะวันออก หมู่ที่ 10 ตำบลเชียงรากน้อย อำเภอบางปะอิน จังหวัดพระนครศรีอยุธยา 1 สายทาง</t>
    </r>
  </si>
  <si>
    <r>
      <rPr>
        <b/>
        <sz val="30"/>
        <rFont val="TH SarabunPSK"/>
        <family val="2"/>
      </rPr>
      <t>ค่าที่ดินและสิ่งก่อสร้าง</t>
    </r>
    <r>
      <rPr>
        <u val="double"/>
        <sz val="30"/>
        <rFont val="TH SarabunPSK"/>
        <family val="2"/>
      </rPr>
      <t xml:space="preserve">
</t>
    </r>
    <r>
      <rPr>
        <sz val="30"/>
        <rFont val="TH SarabunPSK"/>
        <family val="2"/>
      </rPr>
      <t xml:space="preserve">    </t>
    </r>
    <r>
      <rPr>
        <b/>
        <sz val="30"/>
        <rFont val="TH SarabunPSK"/>
        <family val="2"/>
      </rPr>
      <t>รายการ</t>
    </r>
    <r>
      <rPr>
        <sz val="30"/>
        <rFont val="TH SarabunPSK"/>
        <family val="2"/>
      </rPr>
      <t xml:space="preserve"> ก่อสร้างถนนคอนกรีตเสริมเหล็ก หมู่ที่ 1 เชื่อมหมู่ที่ 7 ตำบลพระยาบันลือ อำเภอลาดบัวหลวง จังหวัดพระนครศรีอยุธยา 1 สายทาง</t>
    </r>
  </si>
  <si>
    <t>กิจกรรมย่อย ประเพณีแห่เทียนพรรษาทางน้ำ 
อำเภอพระนครศรีอยุธยา</t>
  </si>
  <si>
    <t>25 ธ.ค 61</t>
  </si>
  <si>
    <r>
      <rPr>
        <b/>
        <sz val="30"/>
        <color theme="1"/>
        <rFont val="TH SarabunPSK"/>
        <family val="2"/>
      </rPr>
      <t>ดำเนินการแล้วเสร็จ</t>
    </r>
    <r>
      <rPr>
        <sz val="30"/>
        <color theme="1"/>
        <rFont val="TH SarabunPSK"/>
        <family val="2"/>
      </rPr>
      <t xml:space="preserve"> </t>
    </r>
  </si>
  <si>
    <t>7 ก.พ 62</t>
  </si>
  <si>
    <t>22 ม.ค 62</t>
  </si>
  <si>
    <t>- อยู่ระหว่างดำเนินงานตามสัญญา
- กำหนดเบิกงวด 1 ภายในเดือน มี.ค 62
- กำหนดเบิกงวด 2 ภายใน เดือน พ.ค. 62</t>
  </si>
  <si>
    <t>- อยู่ระหว่างดำเนินการตามสัญญาจ้าง</t>
  </si>
  <si>
    <r>
      <rPr>
        <b/>
        <sz val="30"/>
        <rFont val="TH SarabunPSK"/>
        <family val="2"/>
      </rPr>
      <t>ค่าที่ดินและสิ่งก่อสร้าง</t>
    </r>
    <r>
      <rPr>
        <u val="double"/>
        <sz val="30"/>
        <rFont val="TH SarabunPSK"/>
        <family val="2"/>
      </rPr>
      <t xml:space="preserve">
</t>
    </r>
    <r>
      <rPr>
        <sz val="30"/>
        <rFont val="TH SarabunPSK"/>
        <family val="2"/>
      </rPr>
      <t xml:space="preserve">   </t>
    </r>
    <r>
      <rPr>
        <b/>
        <sz val="30"/>
        <rFont val="TH SarabunPSK"/>
        <family val="2"/>
      </rPr>
      <t>รายการ</t>
    </r>
    <r>
      <rPr>
        <sz val="30"/>
        <rFont val="TH SarabunPSK"/>
        <family val="2"/>
      </rPr>
      <t xml:space="preserve">  ก่อสร้างถนนคอนกรีตเสริมเหล็ก หมู่ที่ 4 ตำบลลำตะเคียน อำเภอผักไห่ จังหวัดพระนครศรีอยุธยา 1 สายทาง</t>
    </r>
  </si>
  <si>
    <t>กิจกรรมหลัก  การสร้างเครือข่ายและการลดต้นทุนการผลิตและส่งเสริมอาชีพการเกษตรเพื่อสร้างรายได้ให้ชุมชน</t>
  </si>
  <si>
    <t xml:space="preserve"> - อยู่ระหว่างดำเนินการ</t>
  </si>
  <si>
    <t>กิจกรรมย่อย ปรับปรุงระบบป้องกันน้ำท่วมพื้นที่บริเวณหน้าเจดีย์พระศรีสุริโยทัย
(ระยะที่ 2) ตำบลประตูชัย 
อำเภอพระนครศรีอยุธยา  
จังหวัดพระนครศรีอยุธยา</t>
  </si>
  <si>
    <t>กิจกรรมย่อย ก่อสร้างเขื่อนป้องกันตลิ่งริมคลอง
บางหลวง บริเวณวัดกอไผ่ หมู่ที่ 3 
ตำบลบางหลวงโดด อำเภอบางบาล 
จังหวัดพระนครศรีอยุธยา</t>
  </si>
  <si>
    <r>
      <t xml:space="preserve">ค่าที่ดินและสิ่งก่อสร้าง
  </t>
    </r>
    <r>
      <rPr>
        <sz val="30"/>
        <rFont val="TH SarabunPSK"/>
        <family val="2"/>
      </rPr>
      <t xml:space="preserve"> </t>
    </r>
    <r>
      <rPr>
        <b/>
        <sz val="30"/>
        <rFont val="TH SarabunPSK"/>
        <family val="2"/>
      </rPr>
      <t>รายการ</t>
    </r>
    <r>
      <rPr>
        <sz val="30"/>
        <rFont val="TH SarabunPSK"/>
        <family val="2"/>
      </rPr>
      <t xml:space="preserve"> ก่อสร้างเขื่อนป้องกันตลิ่งริมคลองบางหลวง บริเวณวัดกอไผ่ หมู่ที่ 3 
ตำบลบางหลวงโดด อำเภอบางบาล 
จังหวัดพระนครศรีอยุธยา </t>
    </r>
  </si>
  <si>
    <t xml:space="preserve">- อยู่ระหว่างดำเนินการตามสัญญา
</t>
  </si>
  <si>
    <t xml:space="preserve">  อยู่ระหว่างดำเนินการ  อบรมเครือข่ายช่วยเหลือนักท่องเที่ยว (อบรมเดือน เม.ย.62)
 -อบรมเจ้าบ้านน้อยอยุธยา (ดำเนินการเรียบร้อย)
 -อบรมผู้เกษียณอายุเพื่อการท่องเที่ยว 
(ดำเนินการเรียบร้อย)</t>
  </si>
  <si>
    <t>- อยู่ระหว่างขอทำความตกลงกับสำนักงบประมาณ
- ประกาศผู้ชนะเสนอราคา เป็นเงิน 24,600,000 บาท
- ได้ผู้รับจ้างแล้ว รอลงนามในสัญญาจ้าง</t>
  </si>
  <si>
    <t>กิจกรรมย่อย การรณรงค์ป้องกันและ
แก้ไขปัญหายาเสพติดในทูลกระหม่อมหญิงอุบลรัตนราชกัญญาสิริวัฒนาพรรณวดี
(To be number one)</t>
  </si>
  <si>
    <t>กิจกรรมย่อย ปรับปรุงภูมิทัศน์ประภาคารเกาะวัดนิเวศธรรมประวัติราชวรวิหาร และบริเวณโดยรอบหมู่ที่ 12ตำบลบ้านเลน 
อำเภอบางปะอิน 
จังหวัดพระนครศรีอยุธยา</t>
  </si>
  <si>
    <r>
      <rPr>
        <b/>
        <sz val="30"/>
        <rFont val="TH SarabunPSK"/>
        <family val="2"/>
      </rPr>
      <t>ค่าที่ดินและสิ่งก่อสร้าง</t>
    </r>
    <r>
      <rPr>
        <sz val="30"/>
        <rFont val="TH SarabunPSK"/>
        <family val="2"/>
      </rPr>
      <t xml:space="preserve">
  </t>
    </r>
    <r>
      <rPr>
        <b/>
        <sz val="30"/>
        <rFont val="TH SarabunPSK"/>
        <family val="2"/>
      </rPr>
      <t>รายการ</t>
    </r>
    <r>
      <rPr>
        <sz val="30"/>
        <rFont val="TH SarabunPSK"/>
        <family val="2"/>
      </rPr>
      <t xml:space="preserve"> ปรับปรุงถนนคอนกรีตเสริมเหล็กเพื่อการเกษตร หมู่ที่ 4 ตำบลสามเรือน 
อำเภอบางปะอิน จังหวัดพระนครศรีอยุธยา</t>
    </r>
  </si>
  <si>
    <r>
      <rPr>
        <b/>
        <sz val="30"/>
        <rFont val="TH SarabunPSK"/>
        <family val="2"/>
      </rPr>
      <t>ค่าที่ดินและสิ่งก่อสร้าง</t>
    </r>
    <r>
      <rPr>
        <b/>
        <u/>
        <sz val="30"/>
        <rFont val="TH SarabunPSK"/>
        <family val="2"/>
      </rPr>
      <t xml:space="preserve">
</t>
    </r>
    <r>
      <rPr>
        <sz val="30"/>
        <rFont val="TH SarabunPSK"/>
        <family val="2"/>
      </rPr>
      <t xml:space="preserve">   </t>
    </r>
    <r>
      <rPr>
        <b/>
        <sz val="30"/>
        <rFont val="TH SarabunPSK"/>
        <family val="2"/>
      </rPr>
      <t>รายการ</t>
    </r>
    <r>
      <rPr>
        <sz val="30"/>
        <rFont val="TH SarabunPSK"/>
        <family val="2"/>
      </rPr>
      <t xml:space="preserve"> ปรับปรุงถนนคอนกรีตเสริมเหล็กเลียบแม่น้ำหน้าโรงเรียนวัดอุโลม หมู่ที่ 3 
ตำบลมหาราช อำเภอมหาราช 
จังหวัดพระนครศรีอยุธยา</t>
    </r>
  </si>
  <si>
    <t>กิจกรรมย่อย ปรับปรุงถนนคอนกรีตเสริมเหล็กเลียบแม่น้ำหน้าโรงเรียนวัดอุโลม หมู่ที่ 3
ตำบลมหาราช อำเภอมหาราช 
จังหวัดพระนครศรีอยุธยา</t>
  </si>
  <si>
    <r>
      <rPr>
        <b/>
        <sz val="30"/>
        <rFont val="TH SarabunPSK"/>
        <family val="2"/>
      </rPr>
      <t>ค่าที่ดินและสิ่งก่อสร้าง</t>
    </r>
    <r>
      <rPr>
        <u val="double"/>
        <sz val="30"/>
        <rFont val="TH SarabunPSK"/>
        <family val="2"/>
      </rPr>
      <t xml:space="preserve">
</t>
    </r>
    <r>
      <rPr>
        <sz val="30"/>
        <rFont val="TH SarabunPSK"/>
        <family val="2"/>
      </rPr>
      <t xml:space="preserve">   </t>
    </r>
    <r>
      <rPr>
        <b/>
        <sz val="30"/>
        <rFont val="TH SarabunPSK"/>
        <family val="2"/>
      </rPr>
      <t>รายการ</t>
    </r>
    <r>
      <rPr>
        <sz val="30"/>
        <rFont val="TH SarabunPSK"/>
        <family val="2"/>
      </rPr>
      <t xml:space="preserve">  ก่อสร้างถนนคอนกรีตเสริมเหล็ก
หมู่ที่ 3 ตำบลปากจั่น อำเภอนครหลวง
จังหวัดพระนครศรีอยุธยา
1 สายทาง</t>
    </r>
  </si>
  <si>
    <t>กิจกรรมย่อย  โรงสูบน้ำพร้อมวางระบบ
ท่อส่งน้ำ หมู่ที่ 6 ตำบลพระนอน 
อำเภอนครหลวง จังหวัดพระนครศรีอยุธยา</t>
  </si>
  <si>
    <t>กิจกรรมย่อย การจัดทำ "สมุดภาพกรุงเก่า" จังหวัดพระนครศรีอยุธยา ประจำปีงบประมาณ พ.ศ. 2562</t>
  </si>
  <si>
    <t>กิจกรรมย่อย พัฒนาและส่งเสริมการประชาสัมพันธ์ด้วยระบบเทคโนโลยี 4.0</t>
  </si>
  <si>
    <t>อนุมัติครั้งที่ 58
14 มี.ค. 62</t>
  </si>
  <si>
    <t>กิจกรรมย่อย พัฒนาระบบเทคโนโลยีเพื่อส่งเสริมการท่องเที่ยว จังหวัดพระนครศรีอยุธยา</t>
  </si>
  <si>
    <t>ตำรวจภูรธรจังหวัด</t>
  </si>
  <si>
    <t>กิจกรรมย่อย เพิ่มประสิทธิภาพการรักษาความปลอดภัยเพื่อรับรองการท่องเที่ยว 
จังหวัดพระนครศรีอยุธยา</t>
  </si>
  <si>
    <t>กิจกรรมย่อย  ปรับปรุงไฟฟ้าแสงสว่าง 
เพื่อสร้างความปลอดภัยบริเวณถนนโรจนะ 
ตำบลสามเรือน อำเภอบางปะอิน ถึง 
ตำบลคานหาม อำเภออุทัย 
จังหวัดพระนครศรีอยุธยา</t>
  </si>
  <si>
    <t>แขวงทางหลวงอยุธยา</t>
  </si>
  <si>
    <t>กิจกรรมย่อย ปรับปรุงซ่อมแซมถนนลาดยางแอสฟัลต์ติกคอนกรีตชุมชน หมู่ที่ 1 
ซอยคันสวัสดิ์ ตำบลคลองสวนพลู 
อำเภอพระนครศรีอยุธยา 
จังหวัดพระนครศรีอยุธยา</t>
  </si>
  <si>
    <t>สำนักงานพัฒนาชุมชนจังหวัด</t>
  </si>
  <si>
    <t>กิจกรรมย่อย พัฒนาบริการสุขภาพในชุมชนรองรับสังคมผู้สูงอายุ จังหวัดพระนครศรีอยุธยา (ระยะที่ 2)</t>
  </si>
  <si>
    <t>กิจกรรมย่อย  เพิ่มศักยภาพแกนนำเยาวชนในสถานศึกษา ต้านภัยยาเสพติดจังหวัดพระนครศรีอยุธยา</t>
  </si>
  <si>
    <t>กิจกรรมย่อย ขุดลอกบึงแขวนหม้อ หมู่ที่ 3 บ้านแผงลอย ตำบลเทพมงคล อำเภอบางซ้าย จังหวัดพระนครศรีอยุธยา</t>
  </si>
  <si>
    <t>กิจกรรมย่อย ปล่อยน้ำเข้านา ปล่อยปลาเข้าทุ่ง</t>
  </si>
  <si>
    <t>กิจกรรมย่อย เพิ่มประสิทธิภาพการกำจัดผักตบชวา ด้วยนวัตกรรม 4.0</t>
  </si>
  <si>
    <t>โครงการชลประทานพระนครศรีอยุธยา</t>
  </si>
  <si>
    <t>กิจกรรมย่อย ก่อสร้างถนนคอนกรีตเสริมเหล็ก ถนนสายหลังวัดสุคนธารามเชื่อมถนนสายเลียบคลองบึงแขวนหม้อ ฝั่งทิศตะวันออก หมู่ที่ 3 บ้านแผงลอย ตำบลเทพมงคล อำเภอบางซ้าย จังหวัดพระนครศรีอยุธยา</t>
  </si>
  <si>
    <t xml:space="preserve">กิจกรรมย่อย ปรับปรุงถนนลาดยางแอสฟัลท์ติกคอนกรีต ถนนเลียบคลองลากค้อน หมู่ที่ 8 ตำบลสามเมือง อำเภอลาดบัวหลวง จังหวัดพระนครศรีอยุธยา </t>
  </si>
  <si>
    <t>กิจกรรมย่อย พัฒนาและส่งเสริมผู้ประกอบการสู่ภูมิภาคอาเซียน จังหวัดพระนครศรีอยุธยา</t>
  </si>
  <si>
    <r>
      <rPr>
        <b/>
        <sz val="30"/>
        <rFont val="TH SarabunPSK"/>
        <family val="2"/>
      </rPr>
      <t>ค่าที่ดินและสิ่งก่อสร้าง</t>
    </r>
    <r>
      <rPr>
        <sz val="30"/>
        <rFont val="TH SarabunPSK"/>
        <family val="2"/>
      </rPr>
      <t xml:space="preserve">
   รายการ ก่อสร้างลานคอนกรีตเสริมเหล็กตากพืชผลทางการเกษตร หมู่ที่ 1 ตำบลน้ำเต้า อำเภอบางบาล จังหวัดพระนครศรีอยุธยา</t>
    </r>
  </si>
  <si>
    <t xml:space="preserve">ดำเนินการแล้วเสร็จ </t>
  </si>
  <si>
    <t>กิจกรรมย่อย ส่งเสริมการประชาสัมพันธ์
สถาบันพระมหากษัตริย์ของจังหวัดพระนครศรีอยุธยา ประจำปี  2562</t>
  </si>
  <si>
    <r>
      <t xml:space="preserve">ค่าที่ดินและสิ่งก่อสร้าง
</t>
    </r>
    <r>
      <rPr>
        <sz val="30"/>
        <rFont val="TH SarabunPSK"/>
        <family val="2"/>
      </rPr>
      <t xml:space="preserve">  </t>
    </r>
    <r>
      <rPr>
        <b/>
        <sz val="30"/>
        <rFont val="TH SarabunPSK"/>
        <family val="2"/>
      </rPr>
      <t>รายการ</t>
    </r>
    <r>
      <rPr>
        <sz val="30"/>
        <rFont val="TH SarabunPSK"/>
        <family val="2"/>
      </rPr>
      <t xml:space="preserve"> ก่อสร้างเขื่อนป้องกันตลิ่งริม
แม่น้ำเจ้าพระยาบริเวณหมู่ที่ 8 ตำบลบ้านป้อม  
อำเภอพระนครศรีอยุธยา
จังหวัดพระนครศรีอยุธยา </t>
    </r>
  </si>
  <si>
    <r>
      <rPr>
        <b/>
        <sz val="30"/>
        <rFont val="TH SarabunPSK"/>
        <family val="2"/>
      </rPr>
      <t>ค่าที่ดินและสิ่งก่อสร้าง</t>
    </r>
    <r>
      <rPr>
        <sz val="30"/>
        <rFont val="TH SarabunPSK"/>
        <family val="2"/>
      </rPr>
      <t xml:space="preserve">
   </t>
    </r>
    <r>
      <rPr>
        <b/>
        <sz val="30"/>
        <rFont val="TH SarabunPSK"/>
        <family val="2"/>
      </rPr>
      <t>รายการ</t>
    </r>
    <r>
      <rPr>
        <sz val="30"/>
        <rFont val="TH SarabunPSK"/>
        <family val="2"/>
      </rPr>
      <t xml:space="preserve"> ก่อสร้างเขื่อนป้องกันตลิ่งริมแม่น้ำเจ้าพระยา บริเวณหมู่ที่ 9 ตำบลบ้านป้อม
อำเภอพระนครศรีอยุธยา 
จังหวัดพระนครศรีอยุธยา </t>
    </r>
  </si>
  <si>
    <r>
      <rPr>
        <b/>
        <sz val="30"/>
        <rFont val="TH SarabunPSK"/>
        <family val="2"/>
      </rPr>
      <t>ค่าที่ดินและสิ่งก่อสร้าง</t>
    </r>
    <r>
      <rPr>
        <sz val="30"/>
        <rFont val="TH SarabunPSK"/>
        <family val="2"/>
      </rPr>
      <t xml:space="preserve">
   รายการ ปรับปรุงระบบป้องกันน้ำท่วมพื้นที่บริเวณหน้าเจดีย์พระศรีสุริโยทัย (ระยะที่ 2) ตำบลประตูชัย อำเภอพระนครศรีอยุธยา
จังหวัดพระนครศรีอยุธยา </t>
    </r>
  </si>
  <si>
    <r>
      <rPr>
        <b/>
        <sz val="30"/>
        <rFont val="TH SarabunPSK"/>
        <family val="2"/>
      </rPr>
      <t>ค่าที่ดินและสิ่งก่อสร้าง</t>
    </r>
    <r>
      <rPr>
        <sz val="30"/>
        <rFont val="TH SarabunPSK"/>
        <family val="2"/>
      </rPr>
      <t xml:space="preserve">
   รายการ ก่อสร้างเขื่อนป้องกันตลิ่งริมแม่น้ำเจ้าพระยา บริเวณวัดโคกหิรัญ ตำบลบางชะนี 
อำเภอบางบาล จังหวัดพระนครศรีอยุธยา 
ความยาว 115 เมตร</t>
    </r>
  </si>
  <si>
    <t>ค่าคุรภัณฑ์</t>
  </si>
  <si>
    <t xml:space="preserve">   - เครื่องวัดความดันโลหิตดิจิตอลแบบพกพา จำนวน 205 เครื่อง</t>
  </si>
  <si>
    <t xml:space="preserve">   - เครื่องผลิตออกซิเจน ขนาด 10 ลิตร 
จำนวน 17 เครื่อง </t>
  </si>
  <si>
    <t xml:space="preserve">   - ปรอทวัดไข้อินฟาเรด จำนวน 205 เครื่อง</t>
  </si>
  <si>
    <t xml:space="preserve">   - เครื่องกระตุกไฟฟ้าหัวใจชนิดอัตโนมัติ (AED) พร้อมตู้ ตั้งพื้นจอแสดงผล และระบบสัญญาณเตือน จำนวน 4 เครื่อง</t>
  </si>
  <si>
    <r>
      <rPr>
        <b/>
        <sz val="30"/>
        <rFont val="TH SarabunPSK"/>
        <family val="2"/>
      </rPr>
      <t>ค่าที่ดินและสิ่งก่อสร้าง</t>
    </r>
    <r>
      <rPr>
        <b/>
        <u/>
        <sz val="30"/>
        <rFont val="TH SarabunPSK"/>
        <family val="2"/>
      </rPr>
      <t xml:space="preserve">
</t>
    </r>
    <r>
      <rPr>
        <sz val="30"/>
        <rFont val="TH SarabunPSK"/>
        <family val="2"/>
      </rPr>
      <t xml:space="preserve">  </t>
    </r>
    <r>
      <rPr>
        <b/>
        <sz val="30"/>
        <rFont val="TH SarabunPSK"/>
        <family val="2"/>
      </rPr>
      <t>รายการ</t>
    </r>
    <r>
      <rPr>
        <sz val="30"/>
        <rFont val="TH SarabunPSK"/>
        <family val="2"/>
      </rPr>
      <t xml:space="preserve"> ปรับปรุงถนนคอนกรีตเสริมเหล็ก หมู่ที่2 บ้านหนองตาเสือ (เลียบคลองระบายน้ำ 3 ขวา) 
ฝั่งขวา ตำบลหนองน้ำใส อำเภอภาชี
จังหวัดพระนครศรีอยุธยา 1 สายทาง</t>
    </r>
  </si>
  <si>
    <t>- กำหนดจัดงาน วันที่ 17- 20 มี.ค. 62
- คาดว่าจะเบิกจ่ายแล้วเสร็จภายในเดือน เม.ย. 62</t>
  </si>
  <si>
    <t xml:space="preserve">กิจกรรมย่อย ก่อสร้างเขื่อนป้องกันตลิ่งริม
แม่น้ำเจ้าพระยา บริเวณหมู่ที่ 8 
ตำบลบ้านป้อม อำเภอพระนครศรีอยุธยา 
จังหวัดพระนครศรีอยุธยา </t>
  </si>
  <si>
    <t xml:space="preserve"> - อยู่ระหว่างขอทำความตกลงกับสำนักงบประมาณ
- ประกาศผู้ชนะเสนอราคา เป็นเงิน 16,116,161 บาท
 - ได้ผู้รับจ้างแล้ว อยู่ระหว่างรอลงนาม</t>
  </si>
  <si>
    <t>กิจกรรมย่อย  สัตว์ปลอดโรค คนปลอดภัย 
จากโรคพิษสุนัขบ้า ตามพระปณิธาน ศ.ดร.สมเด็จพระเจ้าลูกเธอ เจ้าฟ้าจุฬาภรณวลัยลักษณ์อัครราชกุมารี จังหวัดพระนครศรีอยุธยา</t>
  </si>
  <si>
    <t>กิจกรรมย่อย ก่อสร้างเขื่อนป้องกันตลิ่งริมแม่น้ำเจ้าพระยา บริเวณวัดโคกหิรัญ ตำบลบางชะนี อำเภอบางบาล จังหวัดพระนครศรีอยุธยา</t>
  </si>
  <si>
    <t>กิจกรรมย่อย พัฒนาบริการสุขภาพในชุมชนรองรับสังคมผู้สูงอายุจังหวัดพระนครศรีอยุธยา</t>
  </si>
  <si>
    <t>- อยู่ระหว่างดำเนินการตามสัญญา
- สามารถเบิกจ่าย ภายในเดือน พ.ค. 62</t>
  </si>
  <si>
    <t>- กำหนดจัดงาน ก.ค.62
- คาดว่าจะสามารถเบิกจ่ายภายในเดือน ก.ค. 62</t>
  </si>
  <si>
    <r>
      <rPr>
        <b/>
        <sz val="30"/>
        <rFont val="TH SarabunPSK"/>
        <family val="2"/>
      </rPr>
      <t>ค่าที่ดินและสิ่งก่อสร้าง</t>
    </r>
    <r>
      <rPr>
        <sz val="30"/>
        <rFont val="TH SarabunPSK"/>
        <family val="2"/>
      </rPr>
      <t xml:space="preserve">
  </t>
    </r>
    <r>
      <rPr>
        <b/>
        <sz val="30"/>
        <rFont val="TH SarabunPSK"/>
        <family val="2"/>
      </rPr>
      <t>รายการ</t>
    </r>
    <r>
      <rPr>
        <sz val="30"/>
        <rFont val="TH SarabunPSK"/>
        <family val="2"/>
      </rPr>
      <t xml:space="preserve">  ก่อสร้างเขื่อนคอนกรีตเสริมเหล็กป้องกันตลิ่งบริเวณคลองบ่อ เลียบถนนเทศบาล 17 หมู่ที่ 2-3 ตำบลช้างใหญ่ อำเภอบางไทร 
จังหวัดพระนครศรีอยุธยา </t>
    </r>
  </si>
  <si>
    <t>- อยู่ระหว่างดำเนินการตามสัญญา</t>
  </si>
  <si>
    <r>
      <t xml:space="preserve">ค่าที่ดินและสิ่งก่อสร้าง
 </t>
    </r>
    <r>
      <rPr>
        <sz val="30"/>
        <rFont val="TH SarabunPSK"/>
        <family val="2"/>
      </rPr>
      <t xml:space="preserve"> </t>
    </r>
    <r>
      <rPr>
        <b/>
        <sz val="30"/>
        <rFont val="TH SarabunPSK"/>
        <family val="2"/>
      </rPr>
      <t>รายการ</t>
    </r>
    <r>
      <rPr>
        <sz val="30"/>
        <rFont val="TH SarabunPSK"/>
        <family val="2"/>
      </rPr>
      <t xml:space="preserve"> </t>
    </r>
    <r>
      <rPr>
        <b/>
        <sz val="30"/>
        <rFont val="TH SarabunPSK"/>
        <family val="2"/>
      </rPr>
      <t xml:space="preserve"> </t>
    </r>
    <r>
      <rPr>
        <sz val="30"/>
        <rFont val="TH SarabunPSK"/>
        <family val="2"/>
      </rPr>
      <t xml:space="preserve">ก่อสร้างถนนคอนกรีตเสริมเหล็กซอยบ้านกำนันเพ็ญศรี หมู่ที่ 1 ตำบลมหาราช
อำเภอมหาราช จังหวัดพระนครศรีอยุธยา </t>
    </r>
  </si>
  <si>
    <t>กิจกรรมย่อย ก่อสร้างประตูระบายน้ำลำรางหมู่ใหญ่ หมู่ที่ 8,12 ตำบลปลายกลัด
อำเภอบางซ้าย  จังหวัดพระนครศรีอยุธยา</t>
  </si>
  <si>
    <r>
      <t>ค่าที่ดินและสิ่งก่อสร้าง
    รายการ</t>
    </r>
    <r>
      <rPr>
        <sz val="30"/>
        <color theme="1"/>
        <rFont val="TH SarabunPSK"/>
        <family val="2"/>
      </rPr>
      <t xml:space="preserve">  ก่อสร้างประตูระบายน้ำลำราง
หมู่ใหญ่ หมู่ที่ 8,12 ตำบลปลายกลัด
 อำเภอบางซ้าย  จังหวัดพระนครศรีอยุธยา 1 แห่ง</t>
    </r>
  </si>
  <si>
    <r>
      <rPr>
        <b/>
        <sz val="30"/>
        <rFont val="TH SarabunPSK"/>
        <family val="2"/>
      </rPr>
      <t>ค่าที่ดินและสิ่งก่อสร้าง</t>
    </r>
    <r>
      <rPr>
        <b/>
        <u val="double"/>
        <sz val="30"/>
        <rFont val="TH SarabunPSK"/>
        <family val="2"/>
      </rPr>
      <t xml:space="preserve">
</t>
    </r>
    <r>
      <rPr>
        <b/>
        <sz val="30"/>
        <rFont val="TH SarabunPSK"/>
        <family val="2"/>
      </rPr>
      <t xml:space="preserve">   </t>
    </r>
    <r>
      <rPr>
        <sz val="30"/>
        <rFont val="TH SarabunPSK"/>
        <family val="2"/>
      </rPr>
      <t xml:space="preserve">  ก่อสร้างถนนคอนกรีตเสริมเหล็ก ถนนสายหลังวัดสุคนธารามเชื่อมถนนสายเลียบคลองบึงแขวนหม้อ ฝั่งทิศตะวันออก หมู่ที่ 3 บ้านแผงลอย ตำบลเทพมงคล อำเภอบางซ้าย ขนาดกว้างเฉลี่ย 3.00 เมตร ยาว 420 เมตร หนา 0.15 เมตร หรือมีพื้นที่ไม่น้อยกว่า 1,260 ตารางเมตร </t>
    </r>
  </si>
  <si>
    <r>
      <rPr>
        <b/>
        <sz val="30"/>
        <rFont val="TH SarabunPSK"/>
        <family val="2"/>
      </rPr>
      <t>ค่าที่ดินและสิ่งก่อสร้าง</t>
    </r>
    <r>
      <rPr>
        <sz val="30"/>
        <rFont val="TH SarabunPSK"/>
        <family val="2"/>
      </rPr>
      <t xml:space="preserve">
    ขุดลอกบึงแขวนหม้อ หมู่ที่ 3 บ้านแผงลอย ตำบลเทพมงคล อำเภอบางซ้าย จังหวัดพระนครศรีอยุธยา  ปากคลองขนาดกว้างเฉลี่ย 23.00 เมตร ก้นคลองเฉลี่ย 12.50 เมตร ลึกเฉลี่ย 3.50 เมตร ยาว 1,500 เมตร จำนวนดินขุด 12,060 ลูกบาศก์เมตร </t>
    </r>
  </si>
  <si>
    <t>กิจกรรมย่อย รวมพลังมวลชนเพื่อสร้างความปรองดองสมานฉันท์และสานสัมพันธ์กับ
นานาชาติ</t>
  </si>
  <si>
    <t xml:space="preserve">กิจกรรมย่อย ปรับปรุงผิวจราจรคอนกรีตด้วยวัสดุแอสฟัลท์ หมู่ที่ 7,8 ตำบลหนองขนาก อำเภอท่าเรือ จังหวัดพระนครศรีอยุธยา
</t>
  </si>
  <si>
    <r>
      <t xml:space="preserve">ค่าที่ดินและสิ่งก่อสร้าง
   รายการ </t>
    </r>
    <r>
      <rPr>
        <sz val="30"/>
        <rFont val="TH SarabunPSK"/>
        <family val="2"/>
      </rPr>
      <t>ปรับปรุงผิวจราจรคอนกรีตด้วยวัสดุแอสฟัลท์ หมู่ที่ 7,8 ตำบลหนองขนาก อำเภอท่าเรือ จังหวัดพระนครศรีอยุธยา</t>
    </r>
  </si>
  <si>
    <t>อนุมัติครั้งที่ 57
11 มี.ค. 62</t>
  </si>
  <si>
    <t>สรุปงบประมาณขอใช้เงินเหลือจ่าย (มติ ก.บ.จ. ครั้งที่ 1/2562 ลว. 5 มี.ค. 62)</t>
  </si>
  <si>
    <t>สรุปงบประมาณขอใช้เงินเหลือจ่าย (มติ ก.บ.จ. ครั้งที่ 2/2562 ลว. 11 มี.ค. 62)</t>
  </si>
  <si>
    <r>
      <rPr>
        <b/>
        <sz val="30"/>
        <rFont val="TH SarabunPSK"/>
        <family val="2"/>
      </rPr>
      <t>ค่าที่ดินและสิ่งก่อสร้าง</t>
    </r>
    <r>
      <rPr>
        <u val="double"/>
        <sz val="30"/>
        <rFont val="TH SarabunPSK"/>
        <family val="2"/>
      </rPr>
      <t xml:space="preserve">
</t>
    </r>
    <r>
      <rPr>
        <sz val="30"/>
        <rFont val="TH SarabunPSK"/>
        <family val="2"/>
      </rPr>
      <t xml:space="preserve">   </t>
    </r>
    <r>
      <rPr>
        <b/>
        <sz val="30"/>
        <rFont val="TH SarabunPSK"/>
        <family val="2"/>
      </rPr>
      <t>รายการ</t>
    </r>
    <r>
      <rPr>
        <sz val="30"/>
        <rFont val="TH SarabunPSK"/>
        <family val="2"/>
      </rPr>
      <t xml:space="preserve">  ก่อสร้างถนนคอนกรีตเสริมเหล็กสายเลียบคลอง 8 ขวา 2  (ฝั่งใต้) หมู่ที่ 1 
ตำบลหันตะเภา อำเภอวังน้อย  </t>
    </r>
  </si>
  <si>
    <t>รวมงบประมาณทั้งสิ้น 75 กิจกรรมย่อย และ 1 รายการค่าใช้จ่าย</t>
  </si>
  <si>
    <t>ค่าใช้จ่ายการบริหารงานจังหวัดแบบบูรณาการ</t>
  </si>
  <si>
    <r>
      <t>งบลงทุน</t>
    </r>
    <r>
      <rPr>
        <b/>
        <sz val="30"/>
        <rFont val="TH SarabunPSK"/>
        <family val="2"/>
      </rPr>
      <t/>
    </r>
  </si>
  <si>
    <r>
      <t>ค่าที่ดินและสิ่งก่อสร้าง</t>
    </r>
    <r>
      <rPr>
        <sz val="30"/>
        <rFont val="TH SarabunPSK"/>
        <family val="2"/>
      </rPr>
      <t xml:space="preserve">
   รายการ ปรับปรุงซ่อมแซมถนนลาดยาง
แอสฟัลต์ติกคอนกรีตชุมชน หมู่ที่ 1 ซอยคันสวัสดิ์ 
ตำบลคลองสวนพลู อำเภอพระนครศรีอยุธยา 
ขนาดผิวจราจรกว้าง 5 เมตร ยาว 390 เมตร หนาเฉลี่ย 0.05 เมตร หรือพื้นที่ไม่น้อยกว่า 1,950 ตารางเมตร</t>
    </r>
  </si>
  <si>
    <r>
      <rPr>
        <b/>
        <sz val="30"/>
        <rFont val="TH SarabunPSK"/>
        <family val="2"/>
      </rPr>
      <t>ค่าที่ดินและสิ่งก่อสร้าง</t>
    </r>
    <r>
      <rPr>
        <sz val="30"/>
        <rFont val="TH SarabunPSK"/>
        <family val="2"/>
      </rPr>
      <t xml:space="preserve">
   รายการ ปรับปรุงไฟฟ้าแสงสว่าง เพื่อสร้างความปลอดภัยบริเวณถนนโรจนะ ตำบลสามเรือน อำเภอบางปะอิน ถึง ตำบลคานหาม 
อำเภออุทัย จังหวัดพระนครศรีอยุธยา</t>
    </r>
  </si>
  <si>
    <r>
      <rPr>
        <b/>
        <sz val="30"/>
        <rFont val="TH SarabunPSK"/>
        <family val="2"/>
      </rPr>
      <t>ค่าครุภัณฑ์</t>
    </r>
    <r>
      <rPr>
        <b/>
        <u val="double"/>
        <sz val="30"/>
        <rFont val="TH SarabunPSK"/>
        <family val="2"/>
      </rPr>
      <t xml:space="preserve">
</t>
    </r>
    <r>
      <rPr>
        <sz val="30"/>
        <rFont val="TH SarabunPSK"/>
        <family val="2"/>
      </rPr>
      <t xml:space="preserve">     เรือกำจัดวัชพืช/ผักตบชวา  จำนวน 2 ลำ</t>
    </r>
  </si>
  <si>
    <r>
      <rPr>
        <b/>
        <sz val="30"/>
        <rFont val="TH SarabunPSK"/>
        <family val="2"/>
      </rPr>
      <t>ค่าที่ดินและสิ่งก่อสร้าง</t>
    </r>
    <r>
      <rPr>
        <sz val="30"/>
        <rFont val="TH SarabunPSK"/>
        <family val="2"/>
      </rPr>
      <t xml:space="preserve">
   รายการ ปรับปรุงถนนลาดยางแอสฟัลท์ติกคอนกรีต ถนนเลียบคลองลากค้อน หมู่ที่ 8 
ตำบลสามเมือง อำเภอลาดบัวหลวง 
จังหวัดพระนครศรีอยุธยา กว้าง 4 เมตร
ยาว 1,000 เมตร ความหนา 0.05 เมตร</t>
    </r>
  </si>
  <si>
    <t xml:space="preserve">- ได้ตัวผู้รับจ้างแล้วอยู่ระหว่างรอลงนาม (22 มี.ค. 62)
- แผนปล่อยกุ้งเดือน เม.ย. 62 - พ.ค. 62
- คาดว่าจะเบิกจ่ายภายในเดือน มิ.ย. 62 </t>
  </si>
  <si>
    <t>- อยู่ระหว่างตรวจรับงาน/ผู้รับจ้างส่งมอบงานล่าช้า
- คาดว่าจะสามารถเบิกจ่ายภายในเดือน มี.ค 62</t>
  </si>
  <si>
    <t>คาดว่าจะสามารถเบิกจ่ายภายในเดือน เม.ย. 62</t>
  </si>
  <si>
    <r>
      <t xml:space="preserve"> -</t>
    </r>
    <r>
      <rPr>
        <u/>
        <sz val="30"/>
        <color theme="1"/>
        <rFont val="TH SarabunPSK"/>
        <family val="2"/>
      </rPr>
      <t>พมจ.อย</t>
    </r>
    <r>
      <rPr>
        <sz val="30"/>
        <color theme="1"/>
        <rFont val="TH SarabunPSK"/>
        <family val="2"/>
      </rPr>
      <t xml:space="preserve"> คาดว่าจะสามารถเบิกจ่ายแล้วเสร็จภายในเดือน เม.ย. 62
 -</t>
    </r>
    <r>
      <rPr>
        <u/>
        <sz val="30"/>
        <color theme="1"/>
        <rFont val="TH SarabunPSK"/>
        <family val="2"/>
      </rPr>
      <t>แรงงานจังหวัด</t>
    </r>
    <r>
      <rPr>
        <sz val="30"/>
        <color theme="1"/>
        <rFont val="TH SarabunPSK"/>
        <family val="2"/>
      </rPr>
      <t xml:space="preserve"> ดำเนินการแล้วเสร็จ</t>
    </r>
  </si>
  <si>
    <t>-กำหนดฝึกอบรม รุ่นสุดท้าย วันที่ 5 เม.ย. 62
 เป็นเงิน 75,850 บาท
-รายการครุภัณฑ์ จำนวน 5 รายการ อยู่ระหว่างดำเนินการตามสัญญาจ้าง</t>
  </si>
  <si>
    <t xml:space="preserve"> -รถเข็นนั่งถ่าย 1,025 คัน</t>
  </si>
  <si>
    <t xml:space="preserve"> -เก้าอี้นั่งถ่าย 1,025 คัน</t>
  </si>
  <si>
    <t xml:space="preserve"> -รถเข็นชนิดนั่ง 1,025 คัน</t>
  </si>
  <si>
    <t xml:space="preserve"> -เตียงเฟาว์เลอร์ชนิดมือหมุนแบบ ข. 615 เตียง</t>
  </si>
  <si>
    <t xml:space="preserve"> -ที่นอนโฟมกันแผลกดทับ 615 อัน</t>
  </si>
  <si>
    <t>- แผนการใช้จ่ายเงิน 
เดือน เม.ย. 62  เบิกเงิน 1,106,600 บาท
เดือน พ.ค. 62  เบิกเงิน 125,100 บาท 
เดือน มิ.ย. 62 เบิกเงิน 414,620 บาท
เดือน ก.ค. 62 เบิกเงิน 353,680 บาท</t>
  </si>
  <si>
    <t>- ยกเลิก อนุมัติครั้งที่ 22  11 ต.ค. 61 เนื่องเปลี่ยนจุดดำเนินการ ก.บ.จ ครั้งที่ 1/2562 วันที่ 5 มี.ค. 62
- แผนการจัดซื้อจัดจ้าง 
1. แต่งตั้ง คณะกรรมการร่าง TOR/ราคากลาง วันที่ 19 มี.ค. 62
2. อนุมัติราคากลาง วันที่ 20 มี.ค. 62
3. รายงานขอซื้อขอจ้าง/ประกาศประกวดราคาฯ
 วันที่ 21 มี.ค. 62
4. คณะกรรมการพิจารณาการผล วันที่ 28 มี.ค. 62
5. ประกาศผู้ชนะการเสนอราคา วันที่ 29 มี.ค. 62
6. คาดว่าจะสามารถลงนาม วันที่ 10 เม.ย. 62</t>
  </si>
  <si>
    <t>- คาดว่าจะสามารถลงนามในสัญญาจ้างภายใน
วันที่ 25 มี.ค. 62</t>
  </si>
  <si>
    <t>- ประกาศ e - bidding รอบแรก ไม่มีผู้เสนอราคา 
-กำหนด e - bidding รอบ 2 ภายในเดือน มี.ค.62
- คาดว่าจะสามารถลงนามสัญญาจ้าง ในเดือน เม.ย. 62</t>
  </si>
  <si>
    <t>- e - bidding รอบ 2 ไม่มีผู้ยื่นเสนอราคา 
- กำหนดประกาศ e-bidding  รอบ 3 ภายในวันที่ 19 มี.ค.62  คาดว่าจะสามารถลงนามภายในเดือน เม.ย. 62
- กำหนดจัดการแข่งขันเดือน มิ.ย. 62</t>
  </si>
  <si>
    <t>- จัดประกวดระดับอำเภอ เดือน พ.ค. 62 
- กำหนดจัดงาน 26 มิ.ย. 62 (วันต่อต้านยาเสพติดโลก)</t>
  </si>
  <si>
    <t>- ตัดแต่งกิ่งพุทรา เม.ย. - พ.ค. 62 งปม. 591,920 บ.</t>
  </si>
  <si>
    <t xml:space="preserve">- กำหนดปลูกข้าว  เม.ย 62 งปม. 104,950 บาท
- กำหนดจัดงาน 25 พ.ค. 62  งปม. 320,400 บาท
</t>
  </si>
  <si>
    <t>คาดว่าจะส่งมอบวัสดุการเกษตร ประมาณเดือน พ.ค.62 และเบิกจ่ายภายในเดือน พ.ค. 62</t>
  </si>
  <si>
    <t xml:space="preserve"> - สถาบันฯ กำหนดฝึกอบรมแล้วเสร็จเดือน พ.ค. 62
- สถาบันฯ คาดว่าจะส่งคืนเงินเหลือจ่าย 2 แสนบาท
 - แรงงานจังหวัด กำหนดฝึกอบรมแล้วเสร็จ เดือน เม.ย. 62 (งบประมาณ 86,000)</t>
  </si>
  <si>
    <t>- อยู่ระหว่างปรับแก้ไข TOR 
- ประกาศขึ้นในระบบภายในเดือน มี.ค. 62
- กำหนดจัดงานเดือน พ.ค. 62</t>
  </si>
  <si>
    <t>- ส่งมอบงานแล้ว
- คาดว่าจะเบิกจ่ายแล้วเสร็จภายในเดือน มี.ค. 62</t>
  </si>
  <si>
    <t>ประเด็นการพัฒนาที่ 1 พัฒนาคุณภาพการท่องเที่ยวและการบริการสู่มาตรฐานสากล</t>
  </si>
  <si>
    <t>ประเด็นการพัฒนาที่  2 พัฒนาเมืองและชุมชนให้น่าอยู่</t>
  </si>
  <si>
    <t>ประเด็นการพัฒนาที่  3 พัฒนาภาคการผลิต การค้าและบริการ โดยใช้นวัตกรรม และภูมิปัญญาที่สร้างสรรค์</t>
  </si>
  <si>
    <t>กิจกรรม 2.5 การส่งเสริมและเพิ่มช่องทางการตลาดผลิตภัณฑ์ชุมชน
จังหวัดพระนครศรีอยุธยา</t>
  </si>
  <si>
    <t>- อยู่ระหว่างดำเนินการตามสัญญา
- คาดว่าจะสามารถเบิกจ่าย ภายในเดือน เม.ย. 62</t>
  </si>
  <si>
    <t>- กำหนดยื่นราคาครั้งแรก ไม่มีผู้ยื่นราคา 
 -ครั้งที่ 2  จะใช้วิธีคัดเลือก
- เปลี่ยนแปลงรูปแบบรายการงานก่อสร้าง มติ ก.บ.จ ครั้งที่ 2/2562 วันที่ 11 มี.ค. 62
-จะสามารถลงนามสัญญาจ้างภายในวันที่ 27 มี.ค. 62</t>
  </si>
  <si>
    <t>อนุมัติครั้งที่ 59
18 มี.ค. 62</t>
  </si>
  <si>
    <t>อนุมัติครั้งที่ 62
22 มี.ค. 62</t>
  </si>
  <si>
    <t xml:space="preserve">กำหนดการจ่ายเงิน 3 งวด ดังนี้
1. งวดที่ 1 เป็นเงิน 80,000 บาท แล้วเสร็จภายในวันที่  21 เม.ย. 62
2. งวดที่ 2  เป็นเงิน 60,000 บาท แล้วเสร็จภายในวันที่  20 ก.ค. 62
3. งวดที่ 3  เป็นเงิน 60,000 บาท แล้วเสร็จภายในวันที่  18 ก.ย. 62
</t>
  </si>
  <si>
    <t>อนุมัติครั้งที่ 61
22 มี.ค. 62</t>
  </si>
  <si>
    <t>อนุมัติครั้งที่ 64
26 มี.ค. 62</t>
  </si>
  <si>
    <t>อนุมัติครั้งที่ 63
26 มี.ค. 62</t>
  </si>
  <si>
    <t>อนุมัติครั้งที่ 60
20  มี.ค. 62</t>
  </si>
  <si>
    <t>- กำหนดจัดงาน ก.ค.62</t>
  </si>
  <si>
    <t xml:space="preserve">- ยกเลิก อนุมัติครั้งที่ 53  28 ธ.ค. 61 (เงินเหลือจ่าย)
- อยู่ระหว่างการจัดซื้อจัดจ้าง
</t>
  </si>
  <si>
    <t>- อยู่ระหว่างเสนออนุมัติโครงการ</t>
  </si>
  <si>
    <t>อนุมัติครั้งที่ 70
29 มี.ค. 62</t>
  </si>
  <si>
    <t>อนุมัติครั้งที่ 71
29 มี.ค. 62</t>
  </si>
  <si>
    <t>อนุมัติครั้งที่ 37
30 ต.ค. 61</t>
  </si>
  <si>
    <t>อนุมัติครั้งที่ 69
28 มี.ค. 62</t>
  </si>
  <si>
    <t xml:space="preserve">กิจกรรมย่อย ปรับปรุงถนนโดยการเสริมดินและลงลูกรัง หมู่ที่ 9 - หมู่ที่ 10  ตำบลลำตาเสา อำเภอวังน้อย </t>
  </si>
  <si>
    <r>
      <rPr>
        <b/>
        <sz val="30"/>
        <rFont val="TH SarabunPSK"/>
        <family val="2"/>
      </rPr>
      <t>ค่าที่ดินและสิ่งก่อสร้าง</t>
    </r>
    <r>
      <rPr>
        <u val="double"/>
        <sz val="30"/>
        <rFont val="TH SarabunPSK"/>
        <family val="2"/>
      </rPr>
      <t xml:space="preserve">
</t>
    </r>
    <r>
      <rPr>
        <sz val="30"/>
        <rFont val="TH SarabunPSK"/>
        <family val="2"/>
      </rPr>
      <t xml:space="preserve">  </t>
    </r>
    <r>
      <rPr>
        <b/>
        <sz val="30"/>
        <rFont val="TH SarabunPSK"/>
        <family val="2"/>
      </rPr>
      <t>รายการ</t>
    </r>
    <r>
      <rPr>
        <sz val="30"/>
        <rFont val="TH SarabunPSK"/>
        <family val="2"/>
      </rPr>
      <t xml:space="preserve"> ปรับปรุงถนนโดยการเสริมดินและลงลูกรัง หมู่ที่ 9 -หมู่ที่ 10 ตำบลลำตาเสา อำเภอวังน้อย </t>
    </r>
  </si>
  <si>
    <t>อนุมัติครั้งที่ 65
27 มี.ค. 62</t>
  </si>
  <si>
    <t>อนุมัติครั้งที่ 67
28 มี.ค. 62</t>
  </si>
  <si>
    <t>อนุมัติครั้งที่ 66
27 มี.ค. 62</t>
  </si>
  <si>
    <t>อนุมัติครั้งที่ 68
28 มี.ค. 62</t>
  </si>
  <si>
    <t>อนุมัติครั้งที่ 72
1 เม.ย. 62</t>
  </si>
  <si>
    <t>อยู่ระหว่างดำเนินการ</t>
  </si>
  <si>
    <t>- อยู่ระหว่างกำหนด TOR</t>
  </si>
  <si>
    <t xml:space="preserve"> อยู่ระหว่างรอลงนามสัญญาจ้าง</t>
  </si>
  <si>
    <t>- อยู่ระหว่างดำเนินการ</t>
  </si>
  <si>
    <t>-อยู่ระหว่างการจัดซื้อจัดจ้าง</t>
  </si>
  <si>
    <r>
      <rPr>
        <b/>
        <sz val="28"/>
        <color theme="1"/>
        <rFont val="TH SarabunPSK"/>
        <family val="2"/>
      </rPr>
      <t>- กิจกรรมที่ 1 แต่งไทยใส่บาตรยามเช้า</t>
    </r>
    <r>
      <rPr>
        <sz val="28"/>
        <color theme="1"/>
        <rFont val="TH SarabunPSK"/>
        <family val="2"/>
      </rPr>
      <t xml:space="preserve"> งปม.1,000,000 บาท กำหนดจัดงานปลายเดือน ธ.ค. 61 ลงนามสัญญาจ้าง เป็นเงิน 998,000 บาท) อยู่ระหว่างดำเนินการ คาดว่าจะเบิกจ่ายแล้วเสร็จ ก.ย.62
</t>
    </r>
    <r>
      <rPr>
        <b/>
        <sz val="28"/>
        <color theme="1"/>
        <rFont val="TH SarabunPSK"/>
        <family val="2"/>
      </rPr>
      <t xml:space="preserve">- กิจกรรมที่ 2 แข่งขันกีฬาเพื่อส่งเสริมการท่องเที่ยว 
</t>
    </r>
    <r>
      <rPr>
        <sz val="28"/>
        <color theme="1"/>
        <rFont val="TH SarabunPSK"/>
        <family val="2"/>
      </rPr>
      <t>Ayutthaya Sports  Tourism 2019 งปม. 6,000,000 บาท
- คาดว่าจะสามารถลงนามสัญญาจ้างภายในเดือน เม.ย. 62</t>
    </r>
  </si>
  <si>
    <t>-  ยกเลิก การอนุมัติครั้งที่ 55 วันที่ 2 ม.ค. 62
(เงินโอนเปลี่ยนแปลงงบประมาณไม่พอเพียง)
- อยู่ระหว่างเสนออนุมัติโครงการ
- อยู่ระหว่างการจัดซื้อจัดจ้าง</t>
  </si>
  <si>
    <t>- อยู่ระหว่างขอทำความตกลงกับสำนักงบประมาณ
- อยู่ระหว่างการจัดซื้อจัดจ้าง</t>
  </si>
  <si>
    <t>- อยู่ระหว่างการจัดซื้อจัดจ้าง</t>
  </si>
  <si>
    <t>- อ.ก.บ.ภ เห็นชอบโอนเปลี่ยนแปลง งปม. 22 ก.พ.62
- อยู่ระหว่างการจัดซื้อจัดจ้าง</t>
  </si>
  <si>
    <t xml:space="preserve"> คาดว่าจะสามารถเบิกจ่ายภายในเดือน เม.ย. 62
</t>
  </si>
  <si>
    <t xml:space="preserve">- อยู่ระหว่างดำเนินการตามสัญญา
- คาดว่าจะสามารถเบิกจ่ายภายในเดือน เม.ย. 62
</t>
  </si>
  <si>
    <t xml:space="preserve">- ได้ผู้รับจ้างแล้ว อยู่ระหว่างรอลงนาม
- คาดว่าเบิกจ่ายแล้วเสร็จภายในเดือน เม.ย 62 </t>
  </si>
  <si>
    <t>ท่องเที่ยวและกีฬาจังหวัด</t>
  </si>
  <si>
    <t>กิจกรรม 2.7  ส่งเสริมการประชาสัมพันธ์ภาพลักษณ์ของ
จังหวัดพระนครศรีอยุธยา</t>
  </si>
  <si>
    <t>กิจกรรม 2.8 พัฒนาและส่งเสริมการประชาสัมพันธ์ด้วยระบบเทคโนโลยี 4.0</t>
  </si>
  <si>
    <t xml:space="preserve">กิจกรรม 2.9 ส่งเสริมการประชาสัมพันธ์สถาบันพระมหากษัตริย์ของจังหวัดพระนครศรีอยุธยา ประจำปี 2562 </t>
  </si>
  <si>
    <t xml:space="preserve">กิจกรรม 2.10 การจัดทำ "สมุดภาพกรุงเก่า" จังหวัดพระนครศรีอยุธยา ประจำปีงบประมาณ พ.ศ.2562 </t>
  </si>
  <si>
    <t>กิจกรรม 2.11 พัฒนาระบบเทคโนโลยีเพื่อส่งเสริมการท่องเที่ยว
จังหวัดพระนครศรีอยุธยา</t>
  </si>
  <si>
    <t>กิจกรรม 2.12 เพิ่มประสิทธิภาพการรักษาความปลอดภัยเพื่อรองรับการท่องเที่ยว จังหวัดพระนครศรีอยุธยา</t>
  </si>
  <si>
    <t>ตำรวจภูธรจังหวัด</t>
  </si>
  <si>
    <t>สรุปงบประมาณ  ประเด็นการพัฒนาที่ 1 จำนวน 3 โครงการ  16  กิจกรรมย่อย</t>
  </si>
  <si>
    <t>กิจกรรมหลัก ส่งเสริมการท่องเที่ยว ประเพณีไทยและการประชาสัมพันธ์
ด้านการท่องเที่ยวของจังหวัด</t>
  </si>
  <si>
    <t>กิจกรรม 1.1  ปรับปรุงภูมิทัศน์ประภาคารเกาะวัดนิเวศธรรมประวัติราชวรวิหารและบริเวณโดยรอบหมู่ที่ 12 ตำบลบ้านเลน อำเภอบางปะอิน
จังหวัดพระนครศรีอยุธยา</t>
  </si>
  <si>
    <t>โยธาธิการและผังเมืองจังหวัด</t>
  </si>
  <si>
    <t>กิจกรรม 4.8 เขื่อนป้องกันตลิ่งริมคลองสาธารณประโยชน์ บริเวณหมู่ที่ 2 ตำบลพิตเพียน อำเภอมหาราช</t>
  </si>
  <si>
    <t>กิจกรรม 4.9 เพิ่มประสิทธิภาพการกำจัดผักตบชวาด้วยนวัตกรรม 4.0</t>
  </si>
  <si>
    <t>กิจกรรม 5.1  ส่งเสริมการอนุรักษ์ทรัพยากรธรรมชาติและสิ่งแวดล้อม 
ในพื้นที่จังหวัดพระนครศรีอยุธยา</t>
  </si>
  <si>
    <r>
      <rPr>
        <b/>
        <sz val="30"/>
        <rFont val="TH SarabunPSK"/>
        <family val="2"/>
      </rPr>
      <t>ค่าที่ดินและสิ่งก่อสร้าง</t>
    </r>
    <r>
      <rPr>
        <u val="double"/>
        <sz val="30"/>
        <rFont val="TH SarabunPSK"/>
        <family val="2"/>
      </rPr>
      <t xml:space="preserve">
</t>
    </r>
    <r>
      <rPr>
        <b/>
        <sz val="30"/>
        <rFont val="TH SarabunPSK"/>
        <family val="2"/>
      </rPr>
      <t xml:space="preserve"> รายการ</t>
    </r>
    <r>
      <rPr>
        <sz val="30"/>
        <rFont val="TH SarabunPSK"/>
        <family val="2"/>
      </rPr>
      <t xml:space="preserve">  ก่อสร้างถนนคอนกรีตเสริมเหล็กสายเลียบคลอง 8 ขวา 2   (ฝั่งเหนือ)  หมู่ที่ 4 
ตำบลหันตะเภา อำเภอวังน้อย  </t>
    </r>
  </si>
  <si>
    <t>กิจกรรม 7.4 การรณรงค์ป้องกันและแก้ไขปัญหายาเสพติด ในทูลกระหม่อมหญิงอุบลรัตนราชกัญญาสิริวัฒนาพรรณวดี (To be number one)</t>
  </si>
  <si>
    <t>กิจกรรม 7.5 พัฒนาบริการสุขภาพในชุมชนรองรับสังคมผู้สูงอายุจังหวัดพระนครศรีอยุธยา (ระยะที่ 2)</t>
  </si>
  <si>
    <t>กิจกรรม 7.6  เพิ่มศักยภาพแกนนำเยาวชนในสถานศึกษาต้านภัยยาเสพติด จังหวัดพระนครศรีอยุธยา</t>
  </si>
  <si>
    <t>กิจกรรม 9.2 ขุดลอกบึงแขวนหม้อ หมู่ที่ 3 บ้านแผงลอย ตำบลเทพมงคล 
อำเภอบางซ้าย จังหวัดพระนครศรีอยุธยา</t>
  </si>
  <si>
    <t>กิจกรรม 9.3 การผลิตกุ้งแม่น้ำปลอดภัย</t>
  </si>
  <si>
    <t>กิจกรรม 9.4  การแสดงและการจำหน่ายมหกรรมสินค้าเกษตรปลอดภัย 
เพื่อส่งเสริมการท่องเที่ยวมรดกโลก จังหวัดพระนครศรีอยุธยา</t>
  </si>
  <si>
    <t>กิจกรรม 9.5  การผลิตกุ้งแม่น้ำปลอดภัย ระยะที่ 2</t>
  </si>
  <si>
    <t>กิจกรรม 9.6 ปล่อยน้ำเข้านา ปล่อยปลาเข้าทุ่ง</t>
  </si>
  <si>
    <t>กิจกรรม 10.3  พัฒนาและส่งเสริมผู้ประกอบการสู่ภูมิภาคอาเซียน 
จังหวัดพระนครศรีอยุธยา</t>
  </si>
  <si>
    <t>สรุปงบประมาณ ประเด็นการพัฒนาที่ 3 จำนวน 5 โครงการ 18 กิจกรรมย่อย</t>
  </si>
  <si>
    <t>กิจกรรม 4.6 สัตว์ปลอดโรค คนปลอดภัย จากโรคพิษสุนัขบ้า ตามพระปณิธาน
 ศ.ดร.สมเด็จพระเจ้าลูกเธอเจ้าฟ้าจุฬาภรณวลัยลักษณ์ อัครราชกุมารี
จังหวัดพระนครศรีอยุธยา</t>
  </si>
  <si>
    <t>อำเภอพระนครศริอยุธยา</t>
  </si>
  <si>
    <t xml:space="preserve">กิจกรรม 8.20 ก่อสร้างถนนคอนกรีตเสริมเหล็กสายเลียบคลอง 8 ขวา 2
(ฝั่งเหนือ) หมู่ที่ 4 ตำบลหันตะเภา อำเภอวังน้อย  </t>
  </si>
  <si>
    <t xml:space="preserve">กิจกรรม 8.19 ก่อสร้างถนนคอนกรีตเสริมเหล็กสายเลียบคลอง 8 ขวา 2 
(ฝั่งใต้) หมู่ที่ 1 ตำบลหันตะเภา อำเภอวังน้อย  </t>
  </si>
  <si>
    <t>กิจกรรม 8.23 ปรับปรุงซ่อมแซมถนนลาดยางแอสฟัลท์ติกคอนกรีตชุมชน 
หมู่ที่ 1 ซอยคันคลองสวัสดิ์ ตำบลคลองสวนพลู อำเภอพระนครศรีอยุธยา จังหวัดพระนครศรีอยุธยา</t>
  </si>
  <si>
    <t>กิจกรรม 8.24 ก่อสร้างถนนคอนกรีตเสริมเหล็ก ถนนสายหลังวัดสุคนธารามเชื่อมถนนสายเลียบคลองบึงแขวนหม้อ ฝั่งทิศตะวันออก หมู่ที่ 3 บ้านแผงลอย ตำบลเทพมงคล อำเภอบางซ้าย จังหวัดพระนครศรีอยุธยา</t>
  </si>
  <si>
    <t xml:space="preserve">กิจกรรม 8.25 ปรับปรุงถนนลาดยางแอสฟัลท์ติกคอนกรีต ถนนเลียบ
คลองลากค้อน หมู่ที่ 8 ตำบลสามเมือง อำเภอลาดบัวหลวง 
จังหวัดพระนครศรีอยุธยา 
</t>
  </si>
  <si>
    <t>สรุปงบประมาณ ประเด็นการพัฒนาที่ 2 จำนวน 5 โครงการ 42 กิจกรรมย่อย</t>
  </si>
  <si>
    <t>กิจกรรม 8.4 ปรับปรุงผิวจราจรคอนกรีตด้วยวัสดุแอสฟัลท์ หมู่ที่ 7,8 ตำบลหนองขนาก อำเภอท่าเรือ จังหวัดพระนครศรีอยุธยา</t>
  </si>
  <si>
    <t>กิจกรรม 4.7 ก่อสร้างเขื่อนป้องกันตลิ่งริมแม่น้ำเจ้าพระยา บริเวณวัดโคกหิรัญ 
ตำบลบางชะนี อำเภอบางบาล จังหวัดพระนครศรีอยุธยา</t>
  </si>
  <si>
    <t>- อยู่ระหว่างดำเนินการตามสัญญา
- สามารถเบิกจ่าย ภายในเดือน มิ.ย. 62</t>
  </si>
  <si>
    <t>- อยู่ระหว่างรวบรวมเอกสารเบิกจ่าย
- คาดว่าจะเบิกจ่ายแล้วเสร็จภายในเดือน เม.ย. 62</t>
  </si>
  <si>
    <t>- อยู่ระหว่างประกาศจัดซื้อจัดจ้างใหม่ (ครั้งที่ 4) เนื่องจากผู้รับจ้างไม่มีสมบัติตามที่กำหนด
- คาดว่าจะได้ผู้รับจ้างภายในวันที่ 10 พ.ค. 62</t>
  </si>
  <si>
    <t>- กิจกรรมที่ 1 แต่งไทยใส่บาตรยามเช้า งปม.1,000,000 บาท กำหนดจัดงานปลายเดือน ธ.ค. 61 ลงนามสัญญาจ้าง เป็นเงิน 998,000 บาท) อยู่ระหว่างตรวจรับงาน คาดว่าจะเบิกจ่ายแล้วเสร็จ ก.ย.62
- กิจกรรมที่ 2 แข่งขันกีฬาเพื่อส่งเสริมการท่องเที่ยว 
Ayutthaya Sports  Tourism 2019 งปม. 6,000,000 บาท
- ลงนามสัญญาจ้าง เป็นเงิน 5,800,000 บาท กำหนดจัดงาน เม.ย. - ส.ค. 62
- อยู่ระหว่างส่งมอบงาน</t>
  </si>
  <si>
    <t xml:space="preserve">  อยู่ระหว่างดำเนินการ  อบรมเครือข่ายช่วยเหลือนักท่องเที่ยว (อบรมเดือน มิ.ย. 62)</t>
  </si>
  <si>
    <t>กำหนดการจ่ายเงิน 3 งวด ดังนี้
1. งวดที่ 1 เป็นเงิน 80,000 บาท เบิกจ่ายแล้ว
2. งวดที่ 2  เป็นเงิน 60,000 บาท แล้วเสร็จภายในวันที่  20 ก.ค. 62
3. งวดที่ 3  เป็นเงิน 60,000 บาท แล้วเสร็จภายในวันที่  18 ก.ย. 62</t>
  </si>
  <si>
    <t>- ส่งมอบงานเมื่อวันที่ 30 เม.ย. 62</t>
  </si>
  <si>
    <t>- ประกาศจัดซื้อจัดจ้างในระบบ วันที่ 19 เม.ย. 62</t>
  </si>
  <si>
    <t>อยู่ระหว่างการเบิกจ่ายงวดที่ 1
กำหนดการจ่ายเงิน 3 งวด ดังนี้
1. งวดที่ 1 เป็นเงิน 86,000 บาท เบิกจ่ายแล้วเสร็จ
2. งวดที่ 2  เป็นเงิน 258,000 บาท แล้วเสร็จภายในวันที่  2 ก.ค. 62
3. งวดที่ 3  เป็นเงิน 86,000 บาท แล้วเสร็จภายในวันที่  1 ส.ค. 62</t>
  </si>
  <si>
    <t>- อยู่ระหว่างขึ้นประกาศร่างเอกสารประกวดราคาในระบบ
- คาดว่าจะสามารถลงนามภายในเดือน พ.ค. 62</t>
  </si>
  <si>
    <t>- อยู่ระหว่างประกาศขึ้นในระบบ
- กำหนดจัดงานเดือน 25 พ.ค. 62</t>
  </si>
  <si>
    <t>- สำนักงบประมาณอนุมัติขอทำความตกลงแล้ว
- ประกาศผู้ชนะเสนอราคา เป็นเงิน 16,116,161 บาท
- คาดว่าจะสามารถลงนาม ภายในเดือน เม.ย. 62</t>
  </si>
  <si>
    <t>- อยู่ระหว่างดำเนินการตามแผนงาน</t>
  </si>
  <si>
    <t>-แผนการจัดซื้อจัดจ้าง
1.อนุมัติราคากลาง วันที่ 26 เม.ย. 62
2.รายงานขอซื้อขอจ้าง วันที่ 30 เม.ย. 62
3.ประกาศประกวดราคาฯ วันที่ 30 เม.ย. 62
4.ประกวดราคา e-bidding วันที่ 3 พ.ค. 62
5.คณะกรรมการพิจารณาการผล วันที่ 27 พ.ค. 62
6.ประกาศผู้ชนะการเสนอราคา วันที่ 29 พ.ค. 62
7.คาดว่าจะสามารถลงนาม วันที่ 20 มิ.ย. 62</t>
  </si>
  <si>
    <t>-แผนการจัดซื้อจัดจ้าง
1.อนุมัติราคากลาง วันที่ 24 เม.ย. 62
2.รายงานขอซื้อขอจ้าง วันที่ 26 เม.ย. 62
3.ประกาศประกวดราคาฯ วันที่ 26 เม.ย. 62
4.ประกวดราคา e-bidding วันที่ 2 พ.ค. 62
5.คณะกรรมการพิจารณาการผล วันที่ 23 พ.ค. 62
6.ประกาศผู้ชนะการเสนอราคา วันที่ 27 พ.ค. 62
7.คาดว่าจะสามารถลงนาม วันที่ 18 มิ.ย. 62</t>
  </si>
  <si>
    <t>-แผนการจัดซื้อจัดจ้าง
1.แต่งตั้งคณะกรรมการร่าง TOR วันที่ 26 เม.ย. 62
2.กำหนดราคากลาง วันที่ 26 เม.ย. 62
3.อนุมัติราคากลาง วันที่ 9 พ.ค. 62
4.รายงานขอซื้อขอจ้าง วันที่ 15 พ.ค. 62
5.ตกลงราคากับผู้ประกอบการ วันที่ 15 พ.ค.62
6.ประกาศผู้ชนะการเสนอราคา วันที่ 17 พ.ค. 62
7.คาดว่าจะสามารถลงนาม วันที่ 28 พ.ค. 62</t>
  </si>
  <si>
    <t xml:space="preserve"> -พมจ.อย คาดว่าจะสามารถเบิกจ่ายแล้วเสร็จภายในเดือน มิ.ย. 62
 -แรงงานจังหวัด ดำเนินการแล้วเสร็จ</t>
  </si>
  <si>
    <t>-แผนการจัดซื้อจัดจ้าง
1.อนุมัติราคากลาง วันที่ 22 เม.ย. 62
2.รายงานขอซื้อขอจ้าง วันที่ 22 เม.ย. 62
3.ประกวดราคา e-bidding วันที่ 24 เม.ย. 62
4.คณะกรรมการพิจารณาการผล วันที่ 3 พ.ค. 62
5.ประกาศผู้ชนะการเสนอราคา วันที่ 8 พ.ค. 62
6.คาดว่าจะสามารถลงนาม วันที่ 24 พ.ค. 62</t>
  </si>
  <si>
    <t>อยู่ระหว่างดำเนินการกำหนดการฝึกอบรม</t>
  </si>
  <si>
    <t xml:space="preserve">- ยกเลิก อนุมัติครั้งที่ 22  11 ต.ค. 61 เนื่องเปลี่ยนจุดดำเนินการ ก.บ.จ ครั้งที่ 1/2562 วันที่ 5 มี.ค. 62
- แผนการจัดซื้อจัดจ้าง 
1. แต่งตั้ง คณะกรรมการร่าง TOR/ราคากลาง วันที่ 21 มี.ค. 62
2. อนุมัติราคากลาง วันที่ 18 เม.ย. 62 
3. รายงานขอซื้อขอจ้าง/ประกาศประกวดราคาฯ
วันที่ 19 เม.ย. 62 
4. คณะกรรมการพิจารณาการผล วันที่  1 พ.ค. 62 
5. ประกาศผู้ชนะการเสนอราคา วันที่  3 พ.ค. 62 
6. คาดว่าจะสามารถลงนาม  วันที่  17 พ.ค. 62 </t>
  </si>
  <si>
    <t>- อยู่ระหว่างดำเนินการตามสัญญา
- ยังไม่ผูก PO</t>
  </si>
  <si>
    <t xml:space="preserve">- อยู่ระหว่างดำเนินงานตามสัญญา
เดิมกำหนดเบิก 2 งวด แต่ผู้รับจ้างดำเนินการล่าช้า จึงไม่สามารถเบิกงวดแรกได้ ขอเบิกงวดเดียวเดือน พ.ค. 62 </t>
  </si>
  <si>
    <t>- คาดว่าจะสามารถเบิกจ่าย ภายในเดือน พ.ค 62</t>
  </si>
  <si>
    <t>- อยู่ระหว่างดำเนินการตามสัญญา
- คาดว่าจะสามารถเบิกจ่ายภายในเดือน พ.ค. 62
- รอผล test</t>
  </si>
  <si>
    <t>- สำนักงบประมาณอนุมัติขอทำความตกลงแล้ว
- ประกาศผู้ชนะเสนอราคา เป็นเงิน 24,600,000 บาท
- คาดว่าจะสามารถลงนามภายในเดือน เม.ย. 62</t>
  </si>
  <si>
    <t>- กำหนดลงนาม 11 เม.ย. 62
- คาดว่าเบิกจ่ายแล้วเสร็จภายในเดือน มิ.ย. 62
- ยังไม่ผูก PO</t>
  </si>
  <si>
    <t>- คาดว่าจะสามารถลงนาม วันที่ 26 เม.ย. 62</t>
  </si>
  <si>
    <t>-อยู่ระหว่างการจัดซื้อจัดจ้าง
- คาดว่าจะสามารถลงนาม วันที่ 3 พ.ค. 62</t>
  </si>
  <si>
    <t>-แผนการจัดซื้อจัดจ้าง
1.อนุมัติราคากลาง วันที่ 29 เม.ย. 62
2.รายงานขอซื้อขอจ้าง วันที่ 1 พ.ค. 62
3.ประกาศประกวดราคาฯ วันที่ 2 พ.ค. 62
4.ประกวดราคา e-bidding วันที่ 2 พ.ค. 62
5.คณะกรรมการพิจารณาการผล วันที่ 13 พ.ค. 62
6.ประกาศผู้ชนะการเสนอราคา วันที่ 13 พ.ค. 62
7.คาดว่าจะสามารถลงนาม วันที่ 21 พ.ค. 62</t>
  </si>
  <si>
    <t>-แผนการจัดซื้อจัดจ้าง
1.แต่งตั้งคณะกรรมการร่าง TOR วันที่ 2 เม.ย. 62
2.กำหนดราคากลาง วันที่ 4 เม.ย. 62
3.อนุมัติราคากลาง วันที่ 5 เม.ย. 62
4.รายงานขอซื้อขอจ้าง วันที่ 9 เม.ย. 62
5.ประกาศประกวดราคาฯ วันที่ 22 เม.ย. 62
6.คณะกรรมการพิจารณาการผล วันที่ 24 เม.ย. 62
7.ประกาศผู้ชนะการเสนอราคา วันที่ 25 เม.ย. 62
8.คาดว่าจะสามารถลงนาม วันที่ 7 พ.ค. 62</t>
  </si>
  <si>
    <t>- อ.ก.บ.ภ. อนุมัติ วันที่ 22 ก.พ. 62
- กำหนดลงนามในสัญญาวันที่ 26 เม.ย. 62 
- ประกาศผู้ชนะเสนอราคา เป็นเงิน 2,475,000 บาท</t>
  </si>
  <si>
    <t>- อยู่ระหว่างการจัดซื้อจัดจ้าง
- คาดว่าจะสามารถลงนาม วันที่ 3 พ.ค. 62</t>
  </si>
  <si>
    <t xml:space="preserve">- แผนปล่อยกุ้งเดือน เม.ย. 62 - พ.ค. 62
- คาดว่าจะเบิกจ่ายภายในเดือน ก.ค. 62 </t>
  </si>
  <si>
    <t>- อยู่ระหว่างการจัดซื้อจัดจ้าง/คาดว่าจะได้ผู้รับจ้างภายในเดือน พ.ค. 62
- แผนปล่อยปลาเดือน ส.ค. 62 - ก.ย. 62
- คาดว่าจะเบิกจ่ายภายในเดือน ก.ย. 62</t>
  </si>
  <si>
    <t>- อยู่ระหว่างการร่าง TOR</t>
  </si>
  <si>
    <t>- กำหนดปลูกข้าว  เม.ย 62 งปม. 104,950 บาท
- คาดว่าจะส่งเบิกเงินภายใน เดือน เม.ย. 62
- กำหนดจัดงาน 25 พ.ค. 62  งปม. 320,400 บาท
- คาดว่าจะสามารถเบิกจ่ายภายในเดือน มิ.ย. 62</t>
  </si>
  <si>
    <t xml:space="preserve">ผลการดำเนินงานของโครงการตามแผนปฏิบัติราชการ ประจำปีงบประมาณ พ.ศ. 2562  จังหวัดพระนครศรีอยุธยา  </t>
  </si>
  <si>
    <t>กิจกรรม 8.13 ปรับปรุงก่อสร้างถนนคอนกรีตเสริมเหล็กซอยคลองเปรมตะวันออก หมู่ที่ 10 ตำบลเชียงรากน้อย อำเภอบางปะอิน จังหวัดพระนครศรีอยุธยา</t>
  </si>
  <si>
    <t>-แผนการจัดซื้อจัดจ้าง
1.แต่งตั้งคณะกรรมการร่าง TOR/ราคากลาง 
วันที่ 25 เม.ย. 62
2.อนุมัติราคากลาง วันที่ 26 เม.ย. 62
3.รายงานขอซื้อขอจ้าง วันที่ 29 เม.ย. 62
4.ประกาศประกวดราคาฯ วันที่ 3 พ.ค. 62
5.ประกวดราคา e-bidding วันที่ 20 พ.ค. 62
6.คณะกรรมการพิจารณาการผล วันที่ 23 พ.ค. 62
7.ประกาศผู้ชนะการเสนอราคา วันที่ 24 พ.ค. 62
8.คาดว่าจะสามารถลงนาม วันที่ 5 มิ.ย. 62</t>
  </si>
  <si>
    <t>กิจกรรม 8.22 ปรับปรุงไฟฟ้าแสงสว่าง เพื่อสร้างความปลอดภัยบริเวณถนนโรจนะ
ตำบลสามเรือน อำเภอบางปะอิน ถึง ตำบลคานหาม อำเภออุทัย จังหวัดพระนครศรีอยุธยา</t>
  </si>
  <si>
    <t xml:space="preserve">กิจกรรม 8.21 ปรับปรุงถนนโดยการเสริมดินและลงลูกรัง หมู่ที่ 9 - หมู่ที่ 10 
ตำบลลำตาเสา อำเภอวังน้อย </t>
  </si>
  <si>
    <t>- แก้ไขป้ายโครงการ
- คาดว่าจะเบิกจ่ายแล้วเสร็จภายในเดือน พ.ค. 62</t>
  </si>
  <si>
    <t>สรุปงบประมาณ ประเด็นการพัฒนาที่ 1 - 3 จำนวน 13 โครงการ 76 กิจกรรมย่อย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</si>
</sst>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[$-101041E]d\ mmm\ yy;@"/>
    <numFmt numFmtId="166" formatCode="[$-1010000]d/m/yy;@"/>
    <numFmt numFmtId="167" formatCode="[$-D01041E]d\ mmm\ yy;@"/>
    <numFmt numFmtId="168" formatCode="_-* #,##0_-;\-* #,##0_-;_-* &quot;-&quot;??_-;_-@_-"/>
  </numFmts>
  <fonts count="5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7"/>
      <color theme="1"/>
      <name val="TH SarabunPSK"/>
      <family val="2"/>
    </font>
    <font>
      <b/>
      <sz val="17"/>
      <name val="TH SarabunPSK"/>
      <family val="2"/>
    </font>
    <font>
      <b/>
      <sz val="17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</font>
    <font>
      <sz val="24"/>
      <color theme="1"/>
      <name val="TH SarabunPSK"/>
      <family val="2"/>
    </font>
    <font>
      <b/>
      <sz val="26"/>
      <color theme="1"/>
      <name val="TH SarabunPSK"/>
      <family val="2"/>
    </font>
    <font>
      <b/>
      <sz val="36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8"/>
      <color theme="0"/>
      <name val="TH SarabunPSK"/>
      <family val="2"/>
    </font>
    <font>
      <b/>
      <i/>
      <sz val="18"/>
      <color theme="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color rgb="FFFF0000"/>
      <name val="TH SarabunPSK"/>
      <family val="2"/>
    </font>
    <font>
      <i/>
      <sz val="18"/>
      <color theme="1"/>
      <name val="TH SarabunPSK"/>
      <family val="2"/>
    </font>
    <font>
      <b/>
      <i/>
      <sz val="18"/>
      <color theme="1"/>
      <name val="TH SarabunPSK"/>
      <family val="2"/>
    </font>
    <font>
      <b/>
      <sz val="18"/>
      <color rgb="FFFF0000"/>
      <name val="TH SarabunPSK"/>
      <family val="2"/>
    </font>
    <font>
      <b/>
      <i/>
      <sz val="18"/>
      <name val="TH SarabunPSK"/>
      <family val="2"/>
    </font>
    <font>
      <b/>
      <sz val="28"/>
      <color theme="1"/>
      <name val="TH SarabunPSK"/>
      <family val="2"/>
    </font>
    <font>
      <b/>
      <sz val="22"/>
      <color theme="1"/>
      <name val="TH SarabunPSK"/>
      <family val="2"/>
    </font>
    <font>
      <sz val="12"/>
      <color theme="1"/>
      <name val="TH SarabunPSK"/>
      <family val="2"/>
    </font>
    <font>
      <b/>
      <sz val="26"/>
      <name val="TH SarabunPSK"/>
      <family val="2"/>
    </font>
    <font>
      <b/>
      <sz val="30"/>
      <name val="TH SarabunPSK"/>
      <family val="2"/>
    </font>
    <font>
      <b/>
      <sz val="30"/>
      <color theme="1"/>
      <name val="TH SarabunPSK"/>
      <family val="2"/>
    </font>
    <font>
      <b/>
      <u val="double"/>
      <sz val="30"/>
      <name val="TH SarabunPSK"/>
      <family val="2"/>
    </font>
    <font>
      <sz val="30"/>
      <color theme="1"/>
      <name val="TH SarabunPSK"/>
      <family val="2"/>
    </font>
    <font>
      <sz val="30"/>
      <name val="TH SarabunPSK"/>
      <family val="2"/>
    </font>
    <font>
      <u val="double"/>
      <sz val="30"/>
      <name val="TH SarabunPSK"/>
      <family val="2"/>
    </font>
    <font>
      <b/>
      <sz val="30"/>
      <color theme="0"/>
      <name val="TH SarabunPSK"/>
      <family val="2"/>
    </font>
    <font>
      <u/>
      <sz val="30"/>
      <name val="TH SarabunPSK"/>
      <family val="2"/>
    </font>
    <font>
      <b/>
      <u/>
      <sz val="30"/>
      <name val="TH SarabunPSK"/>
      <family val="2"/>
    </font>
    <font>
      <b/>
      <i/>
      <sz val="30"/>
      <color theme="1"/>
      <name val="TH SarabunPSK"/>
      <family val="2"/>
    </font>
    <font>
      <b/>
      <i/>
      <sz val="30"/>
      <name val="TH SarabunPSK"/>
      <family val="2"/>
    </font>
    <font>
      <sz val="28"/>
      <color theme="1"/>
      <name val="TH SarabunPSK"/>
      <family val="2"/>
    </font>
    <font>
      <b/>
      <sz val="25"/>
      <color theme="1"/>
      <name val="TH SarabunPSK"/>
      <family val="2"/>
    </font>
    <font>
      <sz val="25"/>
      <color theme="1"/>
      <name val="TH SarabunPSK"/>
      <family val="2"/>
    </font>
    <font>
      <b/>
      <sz val="25"/>
      <name val="TH SarabunPSK"/>
      <family val="2"/>
    </font>
    <font>
      <sz val="25"/>
      <name val="TH SarabunPSK"/>
      <family val="2"/>
    </font>
    <font>
      <b/>
      <sz val="28"/>
      <name val="TH SarabunPSK"/>
      <family val="2"/>
    </font>
    <font>
      <b/>
      <sz val="25"/>
      <color rgb="FFFF0000"/>
      <name val="TH SarabunPSK"/>
      <family val="2"/>
    </font>
    <font>
      <b/>
      <sz val="30"/>
      <color rgb="FFFF0000"/>
      <name val="TH SarabunPSK"/>
      <family val="2"/>
    </font>
    <font>
      <sz val="30"/>
      <color rgb="FFFF0000"/>
      <name val="TH SarabunPSK"/>
      <family val="2"/>
    </font>
    <font>
      <b/>
      <sz val="20"/>
      <color indexed="81"/>
      <name val="Tahoma"/>
      <family val="2"/>
    </font>
    <font>
      <u/>
      <sz val="30"/>
      <color theme="1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b/>
      <sz val="22"/>
      <color theme="1" tint="4.9989318521683403E-2"/>
      <name val="TH SarabunPSK"/>
      <family val="2"/>
    </font>
    <font>
      <b/>
      <sz val="20"/>
      <color theme="1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</cellStyleXfs>
  <cellXfs count="563">
    <xf numFmtId="0" fontId="0" fillId="0" borderId="0" xfId="0"/>
    <xf numFmtId="0" fontId="2" fillId="0" borderId="0" xfId="0" applyFont="1" applyAlignment="1">
      <alignment vertical="top"/>
    </xf>
    <xf numFmtId="49" fontId="2" fillId="0" borderId="0" xfId="0" applyNumberFormat="1" applyFont="1" applyFill="1" applyAlignment="1">
      <alignment horizontal="left" vertical="top"/>
    </xf>
    <xf numFmtId="0" fontId="3" fillId="0" borderId="0" xfId="0" applyFont="1" applyAlignment="1">
      <alignment vertical="top"/>
    </xf>
    <xf numFmtId="43" fontId="2" fillId="0" borderId="0" xfId="1" applyFont="1" applyAlignment="1">
      <alignment horizontal="center" vertical="top"/>
    </xf>
    <xf numFmtId="165" fontId="2" fillId="0" borderId="0" xfId="0" applyNumberFormat="1" applyFont="1" applyAlignment="1">
      <alignment vertical="top"/>
    </xf>
    <xf numFmtId="165" fontId="2" fillId="0" borderId="0" xfId="0" applyNumberFormat="1" applyFont="1" applyFill="1" applyAlignment="1">
      <alignment horizontal="center" vertical="top"/>
    </xf>
    <xf numFmtId="43" fontId="4" fillId="0" borderId="0" xfId="1" applyFont="1" applyAlignment="1">
      <alignment horizontal="right" vertical="top"/>
    </xf>
    <xf numFmtId="0" fontId="2" fillId="0" borderId="0" xfId="0" applyFont="1" applyAlignment="1">
      <alignment horizontal="center" vertical="top" wrapText="1"/>
    </xf>
    <xf numFmtId="49" fontId="2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/>
    </xf>
    <xf numFmtId="49" fontId="8" fillId="0" borderId="1" xfId="0" applyNumberFormat="1" applyFont="1" applyBorder="1" applyAlignment="1">
      <alignment vertical="top" wrapText="1"/>
    </xf>
    <xf numFmtId="49" fontId="8" fillId="0" borderId="1" xfId="0" applyNumberFormat="1" applyFont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vertical="top" wrapText="1"/>
    </xf>
    <xf numFmtId="2" fontId="4" fillId="0" borderId="0" xfId="0" applyNumberFormat="1" applyFont="1" applyAlignment="1">
      <alignment horizontal="center" vertical="top"/>
    </xf>
    <xf numFmtId="0" fontId="13" fillId="0" borderId="1" xfId="0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43" fontId="12" fillId="0" borderId="0" xfId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43" fontId="12" fillId="0" borderId="0" xfId="1" applyFont="1" applyAlignment="1">
      <alignment horizontal="right" vertical="center"/>
    </xf>
    <xf numFmtId="43" fontId="12" fillId="0" borderId="0" xfId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43" fontId="16" fillId="0" borderId="0" xfId="1" applyFont="1" applyFill="1" applyAlignment="1">
      <alignment horizontal="right" vertical="top"/>
    </xf>
    <xf numFmtId="43" fontId="12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top"/>
    </xf>
    <xf numFmtId="43" fontId="12" fillId="0" borderId="1" xfId="1" applyFont="1" applyBorder="1" applyAlignment="1">
      <alignment vertical="top"/>
    </xf>
    <xf numFmtId="0" fontId="12" fillId="0" borderId="1" xfId="0" applyFont="1" applyBorder="1" applyAlignment="1">
      <alignment vertical="top"/>
    </xf>
    <xf numFmtId="43" fontId="12" fillId="0" borderId="1" xfId="1" applyFont="1" applyFill="1" applyBorder="1" applyAlignment="1">
      <alignment horizontal="right" vertical="top"/>
    </xf>
    <xf numFmtId="43" fontId="12" fillId="0" borderId="1" xfId="1" applyFont="1" applyFill="1" applyBorder="1" applyAlignment="1">
      <alignment vertical="top"/>
    </xf>
    <xf numFmtId="43" fontId="18" fillId="0" borderId="1" xfId="1" applyFont="1" applyFill="1" applyBorder="1" applyAlignment="1">
      <alignment horizontal="right" vertical="top" wrapText="1"/>
    </xf>
    <xf numFmtId="0" fontId="18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top"/>
    </xf>
    <xf numFmtId="43" fontId="12" fillId="0" borderId="1" xfId="1" applyFont="1" applyBorder="1" applyAlignment="1">
      <alignment vertical="center"/>
    </xf>
    <xf numFmtId="43" fontId="12" fillId="0" borderId="1" xfId="1" applyFont="1" applyFill="1" applyBorder="1" applyAlignment="1">
      <alignment horizontal="right" vertical="center"/>
    </xf>
    <xf numFmtId="43" fontId="18" fillId="0" borderId="1" xfId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/>
    </xf>
    <xf numFmtId="43" fontId="18" fillId="0" borderId="1" xfId="1" applyFont="1" applyFill="1" applyBorder="1" applyAlignment="1">
      <alignment vertical="top"/>
    </xf>
    <xf numFmtId="0" fontId="18" fillId="0" borderId="1" xfId="0" applyFont="1" applyFill="1" applyBorder="1" applyAlignment="1">
      <alignment vertical="top"/>
    </xf>
    <xf numFmtId="43" fontId="18" fillId="0" borderId="1" xfId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43" fontId="12" fillId="0" borderId="1" xfId="1" applyFont="1" applyBorder="1" applyAlignment="1">
      <alignment horizontal="right" vertical="center"/>
    </xf>
    <xf numFmtId="43" fontId="11" fillId="0" borderId="1" xfId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43" fontId="12" fillId="0" borderId="1" xfId="1" applyFont="1" applyFill="1" applyBorder="1" applyAlignment="1">
      <alignment horizontal="right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center" wrapText="1"/>
    </xf>
    <xf numFmtId="43" fontId="12" fillId="0" borderId="1" xfId="1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43" fontId="12" fillId="0" borderId="1" xfId="1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center" wrapText="1"/>
    </xf>
    <xf numFmtId="43" fontId="12" fillId="0" borderId="1" xfId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 applyFill="1" applyAlignment="1">
      <alignment vertical="top"/>
    </xf>
    <xf numFmtId="43" fontId="12" fillId="0" borderId="1" xfId="1" applyFont="1" applyBorder="1" applyAlignment="1" applyProtection="1">
      <alignment vertical="center"/>
    </xf>
    <xf numFmtId="0" fontId="12" fillId="0" borderId="1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43" fontId="11" fillId="0" borderId="1" xfId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8" fillId="0" borderId="0" xfId="0" applyFont="1" applyFill="1" applyAlignment="1">
      <alignment vertical="center"/>
    </xf>
    <xf numFmtId="43" fontId="18" fillId="0" borderId="0" xfId="1" applyFont="1" applyFill="1" applyAlignment="1">
      <alignment horizontal="right" vertical="center"/>
    </xf>
    <xf numFmtId="43" fontId="19" fillId="0" borderId="0" xfId="1" applyFont="1" applyFill="1" applyAlignment="1">
      <alignment horizontal="right" vertical="center"/>
    </xf>
    <xf numFmtId="43" fontId="18" fillId="0" borderId="0" xfId="1" applyFont="1" applyFill="1" applyAlignment="1">
      <alignment vertical="center"/>
    </xf>
    <xf numFmtId="43" fontId="21" fillId="0" borderId="0" xfId="1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43" fontId="11" fillId="0" borderId="1" xfId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vertical="center"/>
    </xf>
    <xf numFmtId="43" fontId="18" fillId="0" borderId="0" xfId="1" applyFont="1" applyFill="1" applyBorder="1" applyAlignment="1">
      <alignment vertical="center"/>
    </xf>
    <xf numFmtId="43" fontId="19" fillId="0" borderId="0" xfId="1" applyFont="1" applyFill="1" applyAlignment="1">
      <alignment vertical="center"/>
    </xf>
    <xf numFmtId="43" fontId="22" fillId="0" borderId="0" xfId="1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vertical="center"/>
    </xf>
    <xf numFmtId="43" fontId="24" fillId="0" borderId="0" xfId="1" applyFont="1" applyFill="1" applyAlignment="1">
      <alignment vertical="center"/>
    </xf>
    <xf numFmtId="43" fontId="19" fillId="0" borderId="0" xfId="0" applyNumberFormat="1" applyFont="1" applyFill="1" applyAlignment="1">
      <alignment vertical="center"/>
    </xf>
    <xf numFmtId="43" fontId="23" fillId="0" borderId="0" xfId="1" applyFont="1" applyFill="1" applyAlignment="1">
      <alignment vertical="center"/>
    </xf>
    <xf numFmtId="43" fontId="11" fillId="0" borderId="0" xfId="1" applyFont="1" applyFill="1" applyAlignment="1">
      <alignment vertical="top"/>
    </xf>
    <xf numFmtId="43" fontId="22" fillId="0" borderId="0" xfId="1" applyFont="1" applyFill="1" applyBorder="1" applyAlignment="1">
      <alignment horizontal="center" vertical="center" wrapText="1"/>
    </xf>
    <xf numFmtId="43" fontId="20" fillId="0" borderId="0" xfId="1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43" fontId="12" fillId="0" borderId="0" xfId="1" applyFont="1" applyFill="1" applyBorder="1" applyAlignment="1">
      <alignment vertical="center"/>
    </xf>
    <xf numFmtId="43" fontId="11" fillId="0" borderId="0" xfId="1" applyFont="1" applyFill="1" applyBorder="1" applyAlignment="1">
      <alignment horizontal="right" vertical="center"/>
    </xf>
    <xf numFmtId="43" fontId="11" fillId="0" borderId="0" xfId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3" fontId="11" fillId="0" borderId="1" xfId="1" applyFont="1" applyBorder="1" applyAlignment="1">
      <alignment vertical="center"/>
    </xf>
    <xf numFmtId="0" fontId="12" fillId="0" borderId="0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43" fontId="11" fillId="0" borderId="1" xfId="1" applyFont="1" applyBorder="1" applyAlignment="1">
      <alignment horizontal="center" vertical="top"/>
    </xf>
    <xf numFmtId="43" fontId="14" fillId="0" borderId="1" xfId="1" applyFont="1" applyFill="1" applyBorder="1" applyAlignment="1">
      <alignment horizontal="right" vertical="top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top"/>
    </xf>
    <xf numFmtId="43" fontId="6" fillId="0" borderId="1" xfId="1" applyFont="1" applyFill="1" applyBorder="1" applyAlignment="1">
      <alignment horizontal="right" vertical="top" wrapText="1"/>
    </xf>
    <xf numFmtId="0" fontId="12" fillId="9" borderId="0" xfId="0" applyFont="1" applyFill="1" applyAlignment="1">
      <alignment vertical="top"/>
    </xf>
    <xf numFmtId="43" fontId="13" fillId="0" borderId="1" xfId="1" applyFont="1" applyFill="1" applyBorder="1" applyAlignment="1">
      <alignment horizontal="right" vertical="top" wrapText="1"/>
    </xf>
    <xf numFmtId="43" fontId="12" fillId="0" borderId="0" xfId="1" applyFont="1" applyAlignment="1">
      <alignment vertical="top"/>
    </xf>
    <xf numFmtId="0" fontId="12" fillId="0" borderId="0" xfId="0" applyFont="1" applyFill="1" applyBorder="1" applyAlignment="1">
      <alignment vertical="top"/>
    </xf>
    <xf numFmtId="43" fontId="12" fillId="0" borderId="1" xfId="0" applyNumberFormat="1" applyFont="1" applyBorder="1" applyAlignment="1">
      <alignment horizontal="center" vertical="top"/>
    </xf>
    <xf numFmtId="0" fontId="12" fillId="0" borderId="0" xfId="0" applyFont="1" applyBorder="1" applyAlignment="1" applyProtection="1">
      <alignment vertical="center"/>
    </xf>
    <xf numFmtId="43" fontId="11" fillId="10" borderId="1" xfId="1" applyFont="1" applyFill="1" applyBorder="1" applyAlignment="1" applyProtection="1">
      <alignment horizontal="right" vertical="center"/>
    </xf>
    <xf numFmtId="43" fontId="11" fillId="10" borderId="1" xfId="1" applyFont="1" applyFill="1" applyBorder="1" applyAlignment="1" applyProtection="1">
      <alignment vertical="center" wrapText="1"/>
    </xf>
    <xf numFmtId="43" fontId="11" fillId="10" borderId="1" xfId="1" applyFont="1" applyFill="1" applyBorder="1" applyAlignment="1" applyProtection="1">
      <alignment horizontal="right" vertical="center" wrapText="1"/>
    </xf>
    <xf numFmtId="0" fontId="11" fillId="10" borderId="1" xfId="0" applyFont="1" applyFill="1" applyBorder="1" applyAlignment="1" applyProtection="1">
      <alignment vertical="center" wrapText="1"/>
    </xf>
    <xf numFmtId="0" fontId="11" fillId="12" borderId="1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left" vertical="center" wrapText="1"/>
    </xf>
    <xf numFmtId="0" fontId="12" fillId="12" borderId="1" xfId="0" applyFont="1" applyFill="1" applyBorder="1" applyAlignment="1">
      <alignment horizontal="center" vertical="center" wrapText="1"/>
    </xf>
    <xf numFmtId="43" fontId="11" fillId="12" borderId="1" xfId="1" applyFont="1" applyFill="1" applyBorder="1" applyAlignment="1">
      <alignment horizontal="right" vertical="center" wrapText="1"/>
    </xf>
    <xf numFmtId="43" fontId="11" fillId="12" borderId="1" xfId="1" applyFont="1" applyFill="1" applyBorder="1" applyAlignment="1" applyProtection="1">
      <alignment vertical="center" wrapText="1"/>
    </xf>
    <xf numFmtId="43" fontId="11" fillId="12" borderId="1" xfId="1" applyFont="1" applyFill="1" applyBorder="1" applyAlignment="1" applyProtection="1">
      <alignment horizontal="right" vertical="center" wrapText="1"/>
    </xf>
    <xf numFmtId="0" fontId="11" fillId="12" borderId="1" xfId="0" applyFont="1" applyFill="1" applyBorder="1" applyAlignment="1">
      <alignment horizontal="center" vertical="center" wrapText="1"/>
    </xf>
    <xf numFmtId="43" fontId="11" fillId="12" borderId="1" xfId="1" applyFont="1" applyFill="1" applyBorder="1" applyAlignment="1">
      <alignment vertical="center" wrapText="1"/>
    </xf>
    <xf numFmtId="0" fontId="11" fillId="12" borderId="1" xfId="0" applyFont="1" applyFill="1" applyBorder="1" applyAlignment="1">
      <alignment horizontal="center" vertical="top"/>
    </xf>
    <xf numFmtId="0" fontId="11" fillId="12" borderId="1" xfId="0" applyFont="1" applyFill="1" applyBorder="1" applyAlignment="1">
      <alignment horizontal="left" vertical="top" wrapText="1"/>
    </xf>
    <xf numFmtId="0" fontId="11" fillId="12" borderId="1" xfId="0" applyFont="1" applyFill="1" applyBorder="1" applyAlignment="1">
      <alignment horizontal="center" vertical="top" wrapText="1"/>
    </xf>
    <xf numFmtId="43" fontId="11" fillId="12" borderId="1" xfId="1" applyFont="1" applyFill="1" applyBorder="1" applyAlignment="1">
      <alignment horizontal="right" vertical="top" wrapText="1"/>
    </xf>
    <xf numFmtId="43" fontId="11" fillId="12" borderId="1" xfId="1" applyFont="1" applyFill="1" applyBorder="1" applyAlignment="1" applyProtection="1">
      <alignment horizontal="right" vertical="top" wrapText="1"/>
    </xf>
    <xf numFmtId="0" fontId="19" fillId="12" borderId="1" xfId="0" applyFont="1" applyFill="1" applyBorder="1" applyAlignment="1">
      <alignment horizontal="left" vertical="center" wrapText="1"/>
    </xf>
    <xf numFmtId="43" fontId="11" fillId="11" borderId="1" xfId="1" applyFont="1" applyFill="1" applyBorder="1" applyAlignment="1">
      <alignment horizontal="right" vertical="center" wrapText="1"/>
    </xf>
    <xf numFmtId="43" fontId="11" fillId="11" borderId="1" xfId="1" applyFont="1" applyFill="1" applyBorder="1" applyAlignment="1">
      <alignment horizontal="right" vertical="center"/>
    </xf>
    <xf numFmtId="0" fontId="21" fillId="11" borderId="6" xfId="0" applyFont="1" applyFill="1" applyBorder="1" applyAlignment="1">
      <alignment horizontal="center" vertical="center" wrapText="1"/>
    </xf>
    <xf numFmtId="43" fontId="11" fillId="11" borderId="6" xfId="1" applyFont="1" applyFill="1" applyBorder="1" applyAlignment="1">
      <alignment horizontal="right" vertical="center" wrapText="1"/>
    </xf>
    <xf numFmtId="43" fontId="11" fillId="12" borderId="1" xfId="1" applyFont="1" applyFill="1" applyBorder="1" applyAlignment="1" applyProtection="1">
      <alignment vertical="top" wrapText="1"/>
    </xf>
    <xf numFmtId="43" fontId="11" fillId="12" borderId="1" xfId="1" applyFont="1" applyFill="1" applyBorder="1" applyAlignment="1">
      <alignment vertical="center"/>
    </xf>
    <xf numFmtId="43" fontId="11" fillId="0" borderId="1" xfId="1" applyFont="1" applyFill="1" applyBorder="1" applyAlignment="1">
      <alignment vertical="top"/>
    </xf>
    <xf numFmtId="43" fontId="11" fillId="0" borderId="1" xfId="1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43" fontId="12" fillId="2" borderId="1" xfId="1" applyFont="1" applyFill="1" applyBorder="1" applyAlignment="1">
      <alignment horizontal="right" vertical="top" wrapText="1"/>
    </xf>
    <xf numFmtId="43" fontId="12" fillId="2" borderId="1" xfId="1" applyFont="1" applyFill="1" applyBorder="1" applyAlignment="1">
      <alignment horizontal="right" vertical="top"/>
    </xf>
    <xf numFmtId="0" fontId="18" fillId="2" borderId="1" xfId="0" applyFont="1" applyFill="1" applyBorder="1" applyAlignment="1">
      <alignment horizontal="left" vertical="top" wrapText="1"/>
    </xf>
    <xf numFmtId="43" fontId="18" fillId="2" borderId="1" xfId="1" applyFont="1" applyFill="1" applyBorder="1" applyAlignment="1">
      <alignment horizontal="right" vertical="top" wrapText="1"/>
    </xf>
    <xf numFmtId="0" fontId="12" fillId="2" borderId="1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center" vertical="top" wrapText="1"/>
    </xf>
    <xf numFmtId="43" fontId="11" fillId="0" borderId="1" xfId="1" applyFont="1" applyFill="1" applyBorder="1" applyAlignment="1">
      <alignment horizontal="right" vertical="top"/>
    </xf>
    <xf numFmtId="43" fontId="12" fillId="0" borderId="1" xfId="1" applyFont="1" applyBorder="1" applyAlignment="1">
      <alignment horizontal="right" vertical="top"/>
    </xf>
    <xf numFmtId="43" fontId="18" fillId="0" borderId="1" xfId="1" applyFont="1" applyFill="1" applyBorder="1" applyAlignment="1">
      <alignment vertical="top" wrapText="1"/>
    </xf>
    <xf numFmtId="43" fontId="11" fillId="0" borderId="1" xfId="1" applyFont="1" applyBorder="1" applyAlignment="1">
      <alignment horizontal="right" vertical="top"/>
    </xf>
    <xf numFmtId="43" fontId="18" fillId="0" borderId="1" xfId="1" applyFont="1" applyFill="1" applyBorder="1" applyAlignment="1">
      <alignment horizontal="right" vertical="top"/>
    </xf>
    <xf numFmtId="0" fontId="12" fillId="12" borderId="1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49" fontId="12" fillId="0" borderId="0" xfId="0" applyNumberFormat="1" applyFont="1" applyAlignment="1">
      <alignment vertical="top"/>
    </xf>
    <xf numFmtId="0" fontId="12" fillId="0" borderId="0" xfId="0" applyFont="1" applyAlignment="1">
      <alignment horizontal="center" vertical="top" wrapText="1"/>
    </xf>
    <xf numFmtId="43" fontId="11" fillId="0" borderId="0" xfId="1" applyFont="1" applyAlignment="1">
      <alignment horizontal="right" vertical="top"/>
    </xf>
    <xf numFmtId="164" fontId="12" fillId="0" borderId="0" xfId="0" applyNumberFormat="1" applyFont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43" fontId="22" fillId="11" borderId="6" xfId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166" fontId="5" fillId="0" borderId="0" xfId="0" applyNumberFormat="1" applyFont="1" applyAlignment="1">
      <alignment horizontal="center" vertical="top"/>
    </xf>
    <xf numFmtId="166" fontId="26" fillId="2" borderId="1" xfId="0" applyNumberFormat="1" applyFont="1" applyFill="1" applyBorder="1" applyAlignment="1">
      <alignment horizontal="center" vertical="top" wrapText="1"/>
    </xf>
    <xf numFmtId="0" fontId="30" fillId="0" borderId="0" xfId="0" applyFont="1" applyAlignment="1">
      <alignment vertical="center"/>
    </xf>
    <xf numFmtId="165" fontId="29" fillId="7" borderId="1" xfId="0" applyNumberFormat="1" applyFont="1" applyFill="1" applyBorder="1" applyAlignment="1">
      <alignment horizontal="center" vertical="center" wrapText="1"/>
    </xf>
    <xf numFmtId="43" fontId="29" fillId="7" borderId="1" xfId="1" applyFont="1" applyFill="1" applyBorder="1" applyAlignment="1">
      <alignment horizontal="center" vertical="top" wrapText="1"/>
    </xf>
    <xf numFmtId="43" fontId="29" fillId="7" borderId="1" xfId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left" vertical="top" wrapText="1"/>
    </xf>
    <xf numFmtId="0" fontId="30" fillId="3" borderId="0" xfId="0" applyFont="1" applyFill="1" applyAlignment="1">
      <alignment vertical="top"/>
    </xf>
    <xf numFmtId="0" fontId="30" fillId="2" borderId="1" xfId="0" applyFont="1" applyFill="1" applyBorder="1" applyAlignment="1">
      <alignment horizontal="center" vertical="center"/>
    </xf>
    <xf numFmtId="49" fontId="31" fillId="2" borderId="1" xfId="2" applyNumberFormat="1" applyFont="1" applyFill="1" applyBorder="1" applyAlignment="1">
      <alignment vertical="center" wrapText="1"/>
    </xf>
    <xf numFmtId="0" fontId="30" fillId="2" borderId="1" xfId="0" applyFont="1" applyFill="1" applyBorder="1" applyAlignment="1">
      <alignment horizontal="center" vertical="center" wrapText="1"/>
    </xf>
    <xf numFmtId="43" fontId="29" fillId="2" borderId="1" xfId="1" applyFont="1" applyFill="1" applyBorder="1" applyAlignment="1">
      <alignment horizontal="right" vertical="center"/>
    </xf>
    <xf numFmtId="165" fontId="30" fillId="2" borderId="1" xfId="0" applyNumberFormat="1" applyFont="1" applyFill="1" applyBorder="1" applyAlignment="1">
      <alignment horizontal="center" vertical="center"/>
    </xf>
    <xf numFmtId="43" fontId="30" fillId="2" borderId="1" xfId="1" applyFont="1" applyFill="1" applyBorder="1" applyAlignment="1">
      <alignment horizontal="center" vertical="center"/>
    </xf>
    <xf numFmtId="2" fontId="30" fillId="2" borderId="1" xfId="0" applyNumberFormat="1" applyFont="1" applyFill="1" applyBorder="1" applyAlignment="1">
      <alignment horizontal="center" vertical="center"/>
    </xf>
    <xf numFmtId="43" fontId="30" fillId="2" borderId="1" xfId="1" applyFont="1" applyFill="1" applyBorder="1" applyAlignment="1">
      <alignment horizontal="right" vertical="center"/>
    </xf>
    <xf numFmtId="43" fontId="29" fillId="2" borderId="1" xfId="0" applyNumberFormat="1" applyFont="1" applyFill="1" applyBorder="1" applyAlignment="1">
      <alignment vertical="center"/>
    </xf>
    <xf numFmtId="0" fontId="29" fillId="2" borderId="1" xfId="0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49" fontId="32" fillId="0" borderId="1" xfId="0" applyNumberFormat="1" applyFont="1" applyFill="1" applyBorder="1" applyAlignment="1">
      <alignment vertical="top" wrapText="1"/>
    </xf>
    <xf numFmtId="0" fontId="32" fillId="3" borderId="0" xfId="0" applyFont="1" applyFill="1" applyAlignment="1">
      <alignment vertical="top"/>
    </xf>
    <xf numFmtId="0" fontId="32" fillId="2" borderId="1" xfId="0" applyFont="1" applyFill="1" applyBorder="1" applyAlignment="1">
      <alignment horizontal="center" vertical="top"/>
    </xf>
    <xf numFmtId="49" fontId="34" fillId="2" borderId="1" xfId="2" applyNumberFormat="1" applyFont="1" applyFill="1" applyBorder="1" applyAlignment="1">
      <alignment vertical="top" wrapText="1"/>
    </xf>
    <xf numFmtId="0" fontId="32" fillId="2" borderId="1" xfId="0" applyFont="1" applyFill="1" applyBorder="1" applyAlignment="1">
      <alignment horizontal="center" vertical="top" wrapText="1"/>
    </xf>
    <xf numFmtId="43" fontId="32" fillId="2" borderId="1" xfId="1" applyFont="1" applyFill="1" applyBorder="1" applyAlignment="1">
      <alignment horizontal="right" vertical="top"/>
    </xf>
    <xf numFmtId="165" fontId="32" fillId="2" borderId="1" xfId="0" applyNumberFormat="1" applyFont="1" applyFill="1" applyBorder="1" applyAlignment="1">
      <alignment horizontal="center" vertical="top"/>
    </xf>
    <xf numFmtId="165" fontId="32" fillId="2" borderId="1" xfId="0" applyNumberFormat="1" applyFont="1" applyFill="1" applyBorder="1" applyAlignment="1">
      <alignment vertical="top"/>
    </xf>
    <xf numFmtId="43" fontId="32" fillId="2" borderId="1" xfId="1" applyFont="1" applyFill="1" applyBorder="1" applyAlignment="1">
      <alignment horizontal="center" vertical="top"/>
    </xf>
    <xf numFmtId="2" fontId="32" fillId="2" borderId="1" xfId="0" applyNumberFormat="1" applyFont="1" applyFill="1" applyBorder="1" applyAlignment="1">
      <alignment horizontal="center" vertical="top"/>
    </xf>
    <xf numFmtId="0" fontId="33" fillId="2" borderId="1" xfId="0" applyFont="1" applyFill="1" applyBorder="1" applyAlignment="1">
      <alignment vertical="top"/>
    </xf>
    <xf numFmtId="0" fontId="32" fillId="2" borderId="1" xfId="0" applyFont="1" applyFill="1" applyBorder="1" applyAlignment="1">
      <alignment vertical="top"/>
    </xf>
    <xf numFmtId="0" fontId="32" fillId="2" borderId="0" xfId="0" applyFont="1" applyFill="1" applyAlignment="1">
      <alignment vertical="top"/>
    </xf>
    <xf numFmtId="0" fontId="30" fillId="6" borderId="0" xfId="0" applyFont="1" applyFill="1" applyAlignment="1">
      <alignment vertical="top"/>
    </xf>
    <xf numFmtId="0" fontId="30" fillId="2" borderId="1" xfId="0" applyFont="1" applyFill="1" applyBorder="1" applyAlignment="1">
      <alignment horizontal="center" vertical="top"/>
    </xf>
    <xf numFmtId="49" fontId="31" fillId="2" borderId="1" xfId="2" applyNumberFormat="1" applyFont="1" applyFill="1" applyBorder="1" applyAlignment="1">
      <alignment vertical="top" wrapText="1"/>
    </xf>
    <xf numFmtId="0" fontId="30" fillId="2" borderId="1" xfId="0" applyFont="1" applyFill="1" applyBorder="1" applyAlignment="1">
      <alignment horizontal="center" vertical="top" wrapText="1"/>
    </xf>
    <xf numFmtId="43" fontId="30" fillId="2" borderId="1" xfId="1" applyFont="1" applyFill="1" applyBorder="1" applyAlignment="1">
      <alignment horizontal="right" vertical="top"/>
    </xf>
    <xf numFmtId="165" fontId="30" fillId="2" borderId="1" xfId="0" applyNumberFormat="1" applyFont="1" applyFill="1" applyBorder="1" applyAlignment="1">
      <alignment horizontal="center" vertical="top"/>
    </xf>
    <xf numFmtId="43" fontId="30" fillId="2" borderId="1" xfId="1" applyFont="1" applyFill="1" applyBorder="1" applyAlignment="1">
      <alignment horizontal="center" vertical="top"/>
    </xf>
    <xf numFmtId="2" fontId="30" fillId="2" borderId="1" xfId="0" applyNumberFormat="1" applyFont="1" applyFill="1" applyBorder="1" applyAlignment="1">
      <alignment horizontal="center" vertical="top"/>
    </xf>
    <xf numFmtId="43" fontId="29" fillId="2" borderId="1" xfId="0" applyNumberFormat="1" applyFont="1" applyFill="1" applyBorder="1" applyAlignment="1">
      <alignment vertical="top"/>
    </xf>
    <xf numFmtId="0" fontId="29" fillId="2" borderId="1" xfId="0" applyFont="1" applyFill="1" applyBorder="1" applyAlignment="1">
      <alignment vertical="top"/>
    </xf>
    <xf numFmtId="0" fontId="30" fillId="2" borderId="1" xfId="0" applyFont="1" applyFill="1" applyBorder="1" applyAlignment="1">
      <alignment vertical="top"/>
    </xf>
    <xf numFmtId="0" fontId="30" fillId="2" borderId="0" xfId="0" applyFont="1" applyFill="1" applyAlignment="1">
      <alignment vertical="top"/>
    </xf>
    <xf numFmtId="0" fontId="32" fillId="0" borderId="0" xfId="0" applyFont="1" applyAlignment="1">
      <alignment vertical="top"/>
    </xf>
    <xf numFmtId="0" fontId="32" fillId="2" borderId="1" xfId="0" applyFont="1" applyFill="1" applyBorder="1" applyAlignment="1">
      <alignment horizontal="center" wrapText="1"/>
    </xf>
    <xf numFmtId="165" fontId="32" fillId="2" borderId="1" xfId="0" applyNumberFormat="1" applyFont="1" applyFill="1" applyBorder="1" applyAlignment="1">
      <alignment horizontal="center"/>
    </xf>
    <xf numFmtId="49" fontId="32" fillId="0" borderId="1" xfId="0" applyNumberFormat="1" applyFont="1" applyFill="1" applyBorder="1" applyAlignment="1">
      <alignment horizontal="left" vertical="top" wrapText="1"/>
    </xf>
    <xf numFmtId="0" fontId="33" fillId="2" borderId="1" xfId="0" applyFont="1" applyFill="1" applyBorder="1" applyAlignment="1">
      <alignment horizontal="center" vertical="top"/>
    </xf>
    <xf numFmtId="0" fontId="33" fillId="2" borderId="1" xfId="0" applyFont="1" applyFill="1" applyBorder="1" applyAlignment="1">
      <alignment horizontal="center" vertical="top" wrapText="1"/>
    </xf>
    <xf numFmtId="43" fontId="33" fillId="2" borderId="1" xfId="1" applyFont="1" applyFill="1" applyBorder="1" applyAlignment="1">
      <alignment horizontal="right" vertical="top"/>
    </xf>
    <xf numFmtId="165" fontId="30" fillId="2" borderId="1" xfId="0" applyNumberFormat="1" applyFont="1" applyFill="1" applyBorder="1" applyAlignment="1">
      <alignment vertical="top"/>
    </xf>
    <xf numFmtId="43" fontId="33" fillId="2" borderId="1" xfId="1" applyFont="1" applyFill="1" applyBorder="1" applyAlignment="1">
      <alignment horizontal="center" vertical="top"/>
    </xf>
    <xf numFmtId="2" fontId="33" fillId="2" borderId="1" xfId="0" applyNumberFormat="1" applyFont="1" applyFill="1" applyBorder="1" applyAlignment="1">
      <alignment horizontal="center" vertical="top"/>
    </xf>
    <xf numFmtId="49" fontId="29" fillId="2" borderId="1" xfId="2" applyNumberFormat="1" applyFont="1" applyFill="1" applyBorder="1" applyAlignment="1">
      <alignment vertical="top" wrapText="1"/>
    </xf>
    <xf numFmtId="49" fontId="30" fillId="0" borderId="1" xfId="0" applyNumberFormat="1" applyFont="1" applyFill="1" applyBorder="1" applyAlignment="1">
      <alignment vertical="top" wrapText="1"/>
    </xf>
    <xf numFmtId="43" fontId="29" fillId="2" borderId="1" xfId="1" applyNumberFormat="1" applyFont="1" applyFill="1" applyBorder="1" applyAlignment="1">
      <alignment vertical="top"/>
    </xf>
    <xf numFmtId="165" fontId="30" fillId="2" borderId="1" xfId="0" applyNumberFormat="1" applyFont="1" applyFill="1" applyBorder="1" applyAlignment="1">
      <alignment horizontal="center" vertical="top" wrapText="1"/>
    </xf>
    <xf numFmtId="43" fontId="30" fillId="2" borderId="1" xfId="1" applyFont="1" applyFill="1" applyBorder="1" applyAlignment="1">
      <alignment horizontal="center" vertical="top" wrapText="1"/>
    </xf>
    <xf numFmtId="43" fontId="29" fillId="2" borderId="1" xfId="1" applyFont="1" applyFill="1" applyBorder="1" applyAlignment="1">
      <alignment vertical="top"/>
    </xf>
    <xf numFmtId="0" fontId="30" fillId="0" borderId="1" xfId="0" applyFont="1" applyFill="1" applyBorder="1" applyAlignment="1">
      <alignment horizontal="center" vertical="top"/>
    </xf>
    <xf numFmtId="49" fontId="29" fillId="0" borderId="1" xfId="0" applyNumberFormat="1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 wrapText="1"/>
    </xf>
    <xf numFmtId="43" fontId="29" fillId="0" borderId="1" xfId="1" applyFont="1" applyFill="1" applyBorder="1" applyAlignment="1">
      <alignment horizontal="right" vertical="top"/>
    </xf>
    <xf numFmtId="165" fontId="30" fillId="0" borderId="1" xfId="0" applyNumberFormat="1" applyFont="1" applyFill="1" applyBorder="1" applyAlignment="1">
      <alignment horizontal="center" vertical="top" wrapText="1"/>
    </xf>
    <xf numFmtId="165" fontId="30" fillId="0" borderId="1" xfId="0" applyNumberFormat="1" applyFont="1" applyFill="1" applyBorder="1" applyAlignment="1">
      <alignment vertical="top"/>
    </xf>
    <xf numFmtId="43" fontId="30" fillId="0" borderId="1" xfId="1" applyFont="1" applyFill="1" applyBorder="1" applyAlignment="1">
      <alignment horizontal="center" vertical="top" wrapText="1"/>
    </xf>
    <xf numFmtId="2" fontId="30" fillId="0" borderId="1" xfId="0" applyNumberFormat="1" applyFont="1" applyFill="1" applyBorder="1" applyAlignment="1">
      <alignment horizontal="center" vertical="top"/>
    </xf>
    <xf numFmtId="43" fontId="30" fillId="0" borderId="1" xfId="1" applyFont="1" applyFill="1" applyBorder="1" applyAlignment="1">
      <alignment horizontal="right" vertical="top"/>
    </xf>
    <xf numFmtId="0" fontId="29" fillId="0" borderId="1" xfId="0" applyFont="1" applyFill="1" applyBorder="1" applyAlignment="1">
      <alignment vertical="top"/>
    </xf>
    <xf numFmtId="0" fontId="30" fillId="0" borderId="0" xfId="0" applyFont="1" applyAlignment="1">
      <alignment vertical="top"/>
    </xf>
    <xf numFmtId="0" fontId="32" fillId="0" borderId="1" xfId="0" applyFont="1" applyFill="1" applyBorder="1" applyAlignment="1">
      <alignment vertical="top"/>
    </xf>
    <xf numFmtId="0" fontId="32" fillId="6" borderId="0" xfId="0" applyFont="1" applyFill="1" applyAlignment="1">
      <alignment vertical="top"/>
    </xf>
    <xf numFmtId="43" fontId="33" fillId="2" borderId="1" xfId="1" applyFont="1" applyFill="1" applyBorder="1" applyAlignment="1">
      <alignment vertical="top"/>
    </xf>
    <xf numFmtId="49" fontId="33" fillId="2" borderId="1" xfId="2" applyNumberFormat="1" applyFont="1" applyFill="1" applyBorder="1" applyAlignment="1">
      <alignment vertical="top" wrapText="1"/>
    </xf>
    <xf numFmtId="49" fontId="31" fillId="0" borderId="1" xfId="2" applyNumberFormat="1" applyFont="1" applyFill="1" applyBorder="1" applyAlignment="1">
      <alignment vertical="top" wrapText="1"/>
    </xf>
    <xf numFmtId="165" fontId="30" fillId="0" borderId="1" xfId="0" applyNumberFormat="1" applyFont="1" applyFill="1" applyBorder="1" applyAlignment="1">
      <alignment horizontal="center" vertical="top"/>
    </xf>
    <xf numFmtId="43" fontId="30" fillId="0" borderId="1" xfId="1" applyFont="1" applyFill="1" applyBorder="1" applyAlignment="1">
      <alignment horizontal="center" vertical="top"/>
    </xf>
    <xf numFmtId="43" fontId="29" fillId="0" borderId="1" xfId="0" applyNumberFormat="1" applyFont="1" applyFill="1" applyBorder="1" applyAlignment="1">
      <alignment vertical="top"/>
    </xf>
    <xf numFmtId="0" fontId="30" fillId="0" borderId="1" xfId="0" applyFont="1" applyFill="1" applyBorder="1" applyAlignment="1">
      <alignment vertical="top"/>
    </xf>
    <xf numFmtId="0" fontId="29" fillId="2" borderId="1" xfId="0" applyFont="1" applyFill="1" applyBorder="1" applyAlignment="1">
      <alignment horizontal="center" vertical="top"/>
    </xf>
    <xf numFmtId="0" fontId="29" fillId="2" borderId="1" xfId="0" applyFont="1" applyFill="1" applyBorder="1" applyAlignment="1">
      <alignment horizontal="center" vertical="top" wrapText="1"/>
    </xf>
    <xf numFmtId="43" fontId="29" fillId="2" borderId="1" xfId="1" applyFont="1" applyFill="1" applyBorder="1" applyAlignment="1">
      <alignment horizontal="center" vertical="top"/>
    </xf>
    <xf numFmtId="165" fontId="29" fillId="2" borderId="1" xfId="0" applyNumberFormat="1" applyFont="1" applyFill="1" applyBorder="1" applyAlignment="1">
      <alignment horizontal="center" vertical="top" wrapText="1"/>
    </xf>
    <xf numFmtId="165" fontId="29" fillId="2" borderId="1" xfId="0" applyNumberFormat="1" applyFont="1" applyFill="1" applyBorder="1" applyAlignment="1">
      <alignment vertical="top"/>
    </xf>
    <xf numFmtId="43" fontId="29" fillId="2" borderId="1" xfId="1" applyFont="1" applyFill="1" applyBorder="1" applyAlignment="1">
      <alignment horizontal="center" vertical="top" wrapText="1"/>
    </xf>
    <xf numFmtId="2" fontId="29" fillId="2" borderId="1" xfId="0" applyNumberFormat="1" applyFont="1" applyFill="1" applyBorder="1" applyAlignment="1">
      <alignment horizontal="center" vertical="top"/>
    </xf>
    <xf numFmtId="43" fontId="29" fillId="2" borderId="1" xfId="1" applyFont="1" applyFill="1" applyBorder="1" applyAlignment="1">
      <alignment horizontal="right" vertical="top"/>
    </xf>
    <xf numFmtId="165" fontId="29" fillId="2" borderId="1" xfId="0" applyNumberFormat="1" applyFont="1" applyFill="1" applyBorder="1" applyAlignment="1">
      <alignment horizontal="center" vertical="top"/>
    </xf>
    <xf numFmtId="0" fontId="29" fillId="2" borderId="1" xfId="0" applyNumberFormat="1" applyFont="1" applyFill="1" applyBorder="1" applyAlignment="1">
      <alignment horizontal="center" vertical="top"/>
    </xf>
    <xf numFmtId="0" fontId="29" fillId="2" borderId="1" xfId="0" applyNumberFormat="1" applyFont="1" applyFill="1" applyBorder="1" applyAlignment="1">
      <alignment horizontal="center" vertical="top" wrapText="1"/>
    </xf>
    <xf numFmtId="0" fontId="29" fillId="2" borderId="1" xfId="0" applyNumberFormat="1" applyFont="1" applyFill="1" applyBorder="1" applyAlignment="1">
      <alignment vertical="top"/>
    </xf>
    <xf numFmtId="0" fontId="29" fillId="2" borderId="1" xfId="1" applyNumberFormat="1" applyFont="1" applyFill="1" applyBorder="1" applyAlignment="1">
      <alignment horizontal="center" vertical="top"/>
    </xf>
    <xf numFmtId="0" fontId="33" fillId="2" borderId="1" xfId="0" applyNumberFormat="1" applyFont="1" applyFill="1" applyBorder="1" applyAlignment="1">
      <alignment horizontal="center" vertical="top"/>
    </xf>
    <xf numFmtId="0" fontId="33" fillId="2" borderId="1" xfId="0" applyNumberFormat="1" applyFont="1" applyFill="1" applyBorder="1" applyAlignment="1">
      <alignment horizontal="center" vertical="top" wrapText="1"/>
    </xf>
    <xf numFmtId="0" fontId="33" fillId="2" borderId="1" xfId="0" applyNumberFormat="1" applyFont="1" applyFill="1" applyBorder="1" applyAlignment="1">
      <alignment vertical="top"/>
    </xf>
    <xf numFmtId="0" fontId="30" fillId="2" borderId="0" xfId="0" applyFont="1" applyFill="1" applyAlignment="1"/>
    <xf numFmtId="0" fontId="30" fillId="2" borderId="1" xfId="0" applyFont="1" applyFill="1" applyBorder="1" applyAlignment="1">
      <alignment horizontal="center"/>
    </xf>
    <xf numFmtId="164" fontId="30" fillId="2" borderId="1" xfId="0" applyNumberFormat="1" applyFont="1" applyFill="1" applyBorder="1" applyAlignment="1">
      <alignment vertical="top"/>
    </xf>
    <xf numFmtId="49" fontId="36" fillId="2" borderId="1" xfId="2" applyNumberFormat="1" applyFont="1" applyFill="1" applyBorder="1" applyAlignment="1">
      <alignment vertical="top" wrapText="1"/>
    </xf>
    <xf numFmtId="165" fontId="33" fillId="2" borderId="1" xfId="0" applyNumberFormat="1" applyFont="1" applyFill="1" applyBorder="1" applyAlignment="1">
      <alignment horizontal="center" vertical="top"/>
    </xf>
    <xf numFmtId="43" fontId="33" fillId="2" borderId="1" xfId="0" applyNumberFormat="1" applyFont="1" applyFill="1" applyBorder="1" applyAlignment="1">
      <alignment vertical="top"/>
    </xf>
    <xf numFmtId="0" fontId="30" fillId="5" borderId="0" xfId="0" applyFont="1" applyFill="1" applyAlignment="1">
      <alignment vertical="top"/>
    </xf>
    <xf numFmtId="0" fontId="30" fillId="0" borderId="0" xfId="0" applyFont="1" applyFill="1" applyAlignment="1">
      <alignment vertical="top"/>
    </xf>
    <xf numFmtId="49" fontId="30" fillId="0" borderId="1" xfId="0" applyNumberFormat="1" applyFont="1" applyFill="1" applyBorder="1" applyAlignment="1">
      <alignment horizontal="left" vertical="top"/>
    </xf>
    <xf numFmtId="0" fontId="30" fillId="0" borderId="0" xfId="0" applyFont="1" applyFill="1" applyAlignment="1"/>
    <xf numFmtId="0" fontId="30" fillId="0" borderId="1" xfId="0" applyFont="1" applyFill="1" applyBorder="1" applyAlignment="1">
      <alignment horizontal="center" vertical="top" wrapText="1"/>
    </xf>
    <xf numFmtId="43" fontId="29" fillId="0" borderId="1" xfId="1" applyFont="1" applyFill="1" applyBorder="1" applyAlignment="1">
      <alignment horizontal="center" vertical="top"/>
    </xf>
    <xf numFmtId="2" fontId="29" fillId="0" borderId="1" xfId="0" applyNumberFormat="1" applyFont="1" applyFill="1" applyBorder="1" applyAlignment="1">
      <alignment horizontal="center" vertical="top"/>
    </xf>
    <xf numFmtId="164" fontId="29" fillId="2" borderId="1" xfId="0" applyNumberFormat="1" applyFont="1" applyFill="1" applyBorder="1" applyAlignment="1">
      <alignment vertical="top"/>
    </xf>
    <xf numFmtId="49" fontId="37" fillId="2" borderId="1" xfId="2" applyNumberFormat="1" applyFont="1" applyFill="1" applyBorder="1" applyAlignment="1">
      <alignment vertical="top" wrapText="1"/>
    </xf>
    <xf numFmtId="0" fontId="30" fillId="4" borderId="1" xfId="0" applyFont="1" applyFill="1" applyBorder="1" applyAlignment="1">
      <alignment horizontal="center" vertical="top"/>
    </xf>
    <xf numFmtId="0" fontId="32" fillId="4" borderId="1" xfId="0" applyFont="1" applyFill="1" applyBorder="1" applyAlignment="1">
      <alignment horizontal="center" vertical="top"/>
    </xf>
    <xf numFmtId="0" fontId="32" fillId="0" borderId="1" xfId="0" applyFont="1" applyFill="1" applyBorder="1" applyAlignment="1">
      <alignment horizontal="center" vertical="top"/>
    </xf>
    <xf numFmtId="0" fontId="32" fillId="0" borderId="1" xfId="0" applyFont="1" applyFill="1" applyBorder="1" applyAlignment="1">
      <alignment horizontal="center" vertical="top" wrapText="1"/>
    </xf>
    <xf numFmtId="43" fontId="32" fillId="0" borderId="1" xfId="1" applyFont="1" applyFill="1" applyBorder="1" applyAlignment="1">
      <alignment horizontal="right" vertical="top"/>
    </xf>
    <xf numFmtId="165" fontId="32" fillId="0" borderId="1" xfId="0" applyNumberFormat="1" applyFont="1" applyFill="1" applyBorder="1" applyAlignment="1">
      <alignment horizontal="center" vertical="top"/>
    </xf>
    <xf numFmtId="165" fontId="32" fillId="0" borderId="1" xfId="0" applyNumberFormat="1" applyFont="1" applyFill="1" applyBorder="1" applyAlignment="1">
      <alignment vertical="top"/>
    </xf>
    <xf numFmtId="43" fontId="32" fillId="0" borderId="1" xfId="1" applyFont="1" applyFill="1" applyBorder="1" applyAlignment="1">
      <alignment horizontal="center" vertical="top"/>
    </xf>
    <xf numFmtId="2" fontId="32" fillId="0" borderId="1" xfId="0" applyNumberFormat="1" applyFont="1" applyFill="1" applyBorder="1" applyAlignment="1">
      <alignment horizontal="center" vertical="top"/>
    </xf>
    <xf numFmtId="0" fontId="33" fillId="0" borderId="1" xfId="0" applyFont="1" applyFill="1" applyBorder="1" applyAlignment="1">
      <alignment vertical="top"/>
    </xf>
    <xf numFmtId="0" fontId="30" fillId="2" borderId="1" xfId="0" applyFont="1" applyFill="1" applyBorder="1" applyAlignment="1">
      <alignment horizontal="center" wrapText="1"/>
    </xf>
    <xf numFmtId="0" fontId="30" fillId="2" borderId="1" xfId="0" applyFont="1" applyFill="1" applyBorder="1" applyAlignment="1"/>
    <xf numFmtId="43" fontId="30" fillId="2" borderId="1" xfId="0" applyNumberFormat="1" applyFont="1" applyFill="1" applyBorder="1" applyAlignment="1">
      <alignment vertical="top"/>
    </xf>
    <xf numFmtId="43" fontId="30" fillId="2" borderId="1" xfId="1" applyNumberFormat="1" applyFont="1" applyFill="1" applyBorder="1" applyAlignment="1">
      <alignment horizontal="center" vertical="top" wrapText="1"/>
    </xf>
    <xf numFmtId="2" fontId="29" fillId="2" borderId="1" xfId="1" applyNumberFormat="1" applyFont="1" applyFill="1" applyBorder="1" applyAlignment="1">
      <alignment horizontal="center" vertical="top"/>
    </xf>
    <xf numFmtId="43" fontId="30" fillId="2" borderId="1" xfId="1" applyFont="1" applyFill="1" applyBorder="1" applyAlignment="1">
      <alignment horizontal="right" vertical="top" wrapText="1"/>
    </xf>
    <xf numFmtId="165" fontId="30" fillId="2" borderId="1" xfId="0" applyNumberFormat="1" applyFont="1" applyFill="1" applyBorder="1" applyAlignment="1">
      <alignment horizontal="center" wrapText="1"/>
    </xf>
    <xf numFmtId="165" fontId="30" fillId="2" borderId="1" xfId="0" applyNumberFormat="1" applyFont="1" applyFill="1" applyBorder="1" applyAlignment="1">
      <alignment horizontal="center"/>
    </xf>
    <xf numFmtId="168" fontId="30" fillId="2" borderId="1" xfId="1" applyNumberFormat="1" applyFont="1" applyFill="1" applyBorder="1" applyAlignment="1">
      <alignment horizontal="center" wrapText="1"/>
    </xf>
    <xf numFmtId="2" fontId="29" fillId="2" borderId="1" xfId="1" applyNumberFormat="1" applyFont="1" applyFill="1" applyBorder="1" applyAlignment="1">
      <alignment horizontal="center"/>
    </xf>
    <xf numFmtId="43" fontId="30" fillId="2" borderId="1" xfId="0" applyNumberFormat="1" applyFont="1" applyFill="1" applyBorder="1" applyAlignment="1"/>
    <xf numFmtId="0" fontId="30" fillId="3" borderId="1" xfId="0" applyFont="1" applyFill="1" applyBorder="1" applyAlignment="1">
      <alignment horizontal="center" vertical="center"/>
    </xf>
    <xf numFmtId="49" fontId="30" fillId="3" borderId="1" xfId="0" applyNumberFormat="1" applyFont="1" applyFill="1" applyBorder="1" applyAlignment="1">
      <alignment vertical="center" wrapText="1"/>
    </xf>
    <xf numFmtId="0" fontId="30" fillId="3" borderId="1" xfId="0" applyFont="1" applyFill="1" applyBorder="1" applyAlignment="1">
      <alignment horizontal="center" vertical="center" wrapText="1"/>
    </xf>
    <xf numFmtId="43" fontId="29" fillId="3" borderId="1" xfId="1" applyFont="1" applyFill="1" applyBorder="1" applyAlignment="1">
      <alignment vertical="center"/>
    </xf>
    <xf numFmtId="165" fontId="30" fillId="3" borderId="1" xfId="0" applyNumberFormat="1" applyFont="1" applyFill="1" applyBorder="1" applyAlignment="1">
      <alignment horizontal="center" vertical="center" wrapText="1"/>
    </xf>
    <xf numFmtId="165" fontId="30" fillId="3" borderId="1" xfId="0" applyNumberFormat="1" applyFont="1" applyFill="1" applyBorder="1" applyAlignment="1">
      <alignment vertical="center"/>
    </xf>
    <xf numFmtId="43" fontId="30" fillId="3" borderId="1" xfId="1" applyFont="1" applyFill="1" applyBorder="1" applyAlignment="1">
      <alignment horizontal="center" vertical="center" wrapText="1"/>
    </xf>
    <xf numFmtId="2" fontId="30" fillId="3" borderId="1" xfId="0" applyNumberFormat="1" applyFont="1" applyFill="1" applyBorder="1" applyAlignment="1">
      <alignment horizontal="center" vertical="center"/>
    </xf>
    <xf numFmtId="43" fontId="30" fillId="3" borderId="1" xfId="1" applyFont="1" applyFill="1" applyBorder="1" applyAlignment="1">
      <alignment horizontal="right" vertical="center"/>
    </xf>
    <xf numFmtId="0" fontId="29" fillId="3" borderId="1" xfId="0" applyFont="1" applyFill="1" applyBorder="1" applyAlignment="1">
      <alignment vertical="center"/>
    </xf>
    <xf numFmtId="49" fontId="32" fillId="0" borderId="1" xfId="0" applyNumberFormat="1" applyFont="1" applyFill="1" applyBorder="1" applyAlignment="1">
      <alignment horizontal="left" vertical="center"/>
    </xf>
    <xf numFmtId="0" fontId="30" fillId="8" borderId="0" xfId="0" applyFont="1" applyFill="1" applyAlignment="1">
      <alignment vertical="center"/>
    </xf>
    <xf numFmtId="43" fontId="30" fillId="8" borderId="1" xfId="1" applyFont="1" applyFill="1" applyBorder="1" applyAlignment="1">
      <alignment vertical="center"/>
    </xf>
    <xf numFmtId="167" fontId="30" fillId="8" borderId="1" xfId="0" applyNumberFormat="1" applyFont="1" applyFill="1" applyBorder="1" applyAlignment="1">
      <alignment vertical="center"/>
    </xf>
    <xf numFmtId="43" fontId="30" fillId="8" borderId="1" xfId="1" applyFont="1" applyFill="1" applyBorder="1" applyAlignment="1">
      <alignment horizontal="center" vertical="top"/>
    </xf>
    <xf numFmtId="2" fontId="30" fillId="8" borderId="1" xfId="0" applyNumberFormat="1" applyFont="1" applyFill="1" applyBorder="1" applyAlignment="1">
      <alignment horizontal="center" vertical="center"/>
    </xf>
    <xf numFmtId="43" fontId="30" fillId="8" borderId="1" xfId="1" applyFont="1" applyFill="1" applyBorder="1" applyAlignment="1">
      <alignment horizontal="right" vertical="center"/>
    </xf>
    <xf numFmtId="43" fontId="29" fillId="8" borderId="1" xfId="1" applyFont="1" applyFill="1" applyBorder="1" applyAlignment="1">
      <alignment vertical="center"/>
    </xf>
    <xf numFmtId="0" fontId="30" fillId="0" borderId="0" xfId="0" applyFont="1" applyAlignment="1"/>
    <xf numFmtId="0" fontId="30" fillId="0" borderId="0" xfId="0" applyFont="1" applyAlignment="1">
      <alignment horizontal="center" vertical="top"/>
    </xf>
    <xf numFmtId="49" fontId="32" fillId="0" borderId="0" xfId="0" applyNumberFormat="1" applyFont="1" applyAlignment="1">
      <alignment vertical="top"/>
    </xf>
    <xf numFmtId="0" fontId="32" fillId="0" borderId="0" xfId="0" applyFont="1" applyAlignment="1">
      <alignment horizontal="center" vertical="top" wrapText="1"/>
    </xf>
    <xf numFmtId="43" fontId="30" fillId="0" borderId="0" xfId="1" applyFont="1" applyAlignment="1">
      <alignment horizontal="right" vertical="top"/>
    </xf>
    <xf numFmtId="49" fontId="32" fillId="0" borderId="0" xfId="0" applyNumberFormat="1" applyFont="1" applyFill="1" applyAlignment="1">
      <alignment horizontal="left" vertical="top"/>
    </xf>
    <xf numFmtId="167" fontId="6" fillId="8" borderId="1" xfId="0" applyNumberFormat="1" applyFont="1" applyFill="1" applyBorder="1" applyAlignment="1">
      <alignment vertical="center"/>
    </xf>
    <xf numFmtId="166" fontId="41" fillId="2" borderId="1" xfId="0" applyNumberFormat="1" applyFont="1" applyFill="1" applyBorder="1" applyAlignment="1">
      <alignment horizontal="center" vertical="center" wrapText="1"/>
    </xf>
    <xf numFmtId="166" fontId="41" fillId="2" borderId="1" xfId="0" applyNumberFormat="1" applyFont="1" applyFill="1" applyBorder="1" applyAlignment="1">
      <alignment horizontal="center" vertical="top"/>
    </xf>
    <xf numFmtId="166" fontId="42" fillId="2" borderId="1" xfId="0" applyNumberFormat="1" applyFont="1" applyFill="1" applyBorder="1" applyAlignment="1">
      <alignment horizontal="center" wrapText="1"/>
    </xf>
    <xf numFmtId="166" fontId="41" fillId="2" borderId="1" xfId="0" applyNumberFormat="1" applyFont="1" applyFill="1" applyBorder="1" applyAlignment="1">
      <alignment horizontal="center" vertical="top" wrapText="1"/>
    </xf>
    <xf numFmtId="166" fontId="42" fillId="2" borderId="1" xfId="0" applyNumberFormat="1" applyFont="1" applyFill="1" applyBorder="1" applyAlignment="1">
      <alignment horizontal="center" vertical="top" wrapText="1"/>
    </xf>
    <xf numFmtId="166" fontId="41" fillId="0" borderId="1" xfId="0" applyNumberFormat="1" applyFont="1" applyFill="1" applyBorder="1" applyAlignment="1">
      <alignment horizontal="center" vertical="top" wrapText="1"/>
    </xf>
    <xf numFmtId="166" fontId="41" fillId="0" borderId="1" xfId="0" applyNumberFormat="1" applyFont="1" applyFill="1" applyBorder="1" applyAlignment="1">
      <alignment horizontal="center" vertical="top"/>
    </xf>
    <xf numFmtId="166" fontId="43" fillId="2" borderId="1" xfId="0" applyNumberFormat="1" applyFont="1" applyFill="1" applyBorder="1" applyAlignment="1">
      <alignment horizontal="center" vertical="top" wrapText="1"/>
    </xf>
    <xf numFmtId="166" fontId="43" fillId="2" borderId="1" xfId="0" applyNumberFormat="1" applyFont="1" applyFill="1" applyBorder="1" applyAlignment="1">
      <alignment horizontal="center" vertical="top"/>
    </xf>
    <xf numFmtId="0" fontId="43" fillId="2" borderId="1" xfId="0" applyNumberFormat="1" applyFont="1" applyFill="1" applyBorder="1" applyAlignment="1">
      <alignment horizontal="center" vertical="top"/>
    </xf>
    <xf numFmtId="0" fontId="44" fillId="2" borderId="1" xfId="0" applyNumberFormat="1" applyFont="1" applyFill="1" applyBorder="1" applyAlignment="1">
      <alignment horizontal="center" vertical="top"/>
    </xf>
    <xf numFmtId="166" fontId="44" fillId="2" borderId="1" xfId="0" applyNumberFormat="1" applyFont="1" applyFill="1" applyBorder="1" applyAlignment="1">
      <alignment horizontal="center" vertical="top"/>
    </xf>
    <xf numFmtId="166" fontId="42" fillId="0" borderId="1" xfId="0" applyNumberFormat="1" applyFont="1" applyFill="1" applyBorder="1" applyAlignment="1">
      <alignment horizontal="center" vertical="top"/>
    </xf>
    <xf numFmtId="166" fontId="41" fillId="2" borderId="1" xfId="0" applyNumberFormat="1" applyFont="1" applyFill="1" applyBorder="1" applyAlignment="1">
      <alignment horizontal="center" wrapText="1"/>
    </xf>
    <xf numFmtId="166" fontId="42" fillId="3" borderId="1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left" vertical="top"/>
    </xf>
    <xf numFmtId="165" fontId="30" fillId="2" borderId="1" xfId="0" applyNumberFormat="1" applyFont="1" applyFill="1" applyBorder="1" applyAlignment="1">
      <alignment horizontal="center" vertical="center" wrapText="1"/>
    </xf>
    <xf numFmtId="165" fontId="30" fillId="2" borderId="1" xfId="0" applyNumberFormat="1" applyFont="1" applyFill="1" applyBorder="1" applyAlignment="1">
      <alignment vertical="center"/>
    </xf>
    <xf numFmtId="43" fontId="30" fillId="2" borderId="1" xfId="1" applyFont="1" applyFill="1" applyBorder="1" applyAlignment="1">
      <alignment horizontal="center" vertical="center" wrapText="1"/>
    </xf>
    <xf numFmtId="43" fontId="29" fillId="2" borderId="1" xfId="1" applyFont="1" applyFill="1" applyBorder="1" applyAlignment="1">
      <alignment vertical="center"/>
    </xf>
    <xf numFmtId="49" fontId="32" fillId="2" borderId="1" xfId="0" applyNumberFormat="1" applyFont="1" applyFill="1" applyBorder="1" applyAlignment="1">
      <alignment vertical="top" wrapText="1"/>
    </xf>
    <xf numFmtId="0" fontId="30" fillId="9" borderId="1" xfId="0" applyFont="1" applyFill="1" applyBorder="1" applyAlignment="1">
      <alignment horizontal="center" vertical="top"/>
    </xf>
    <xf numFmtId="166" fontId="41" fillId="9" borderId="1" xfId="0" applyNumberFormat="1" applyFont="1" applyFill="1" applyBorder="1" applyAlignment="1">
      <alignment horizontal="center" vertical="top" wrapText="1"/>
    </xf>
    <xf numFmtId="165" fontId="30" fillId="9" borderId="1" xfId="0" applyNumberFormat="1" applyFont="1" applyFill="1" applyBorder="1" applyAlignment="1">
      <alignment vertical="top"/>
    </xf>
    <xf numFmtId="2" fontId="30" fillId="9" borderId="1" xfId="0" applyNumberFormat="1" applyFont="1" applyFill="1" applyBorder="1" applyAlignment="1">
      <alignment horizontal="center" vertical="top"/>
    </xf>
    <xf numFmtId="43" fontId="30" fillId="9" borderId="1" xfId="1" applyFont="1" applyFill="1" applyBorder="1" applyAlignment="1">
      <alignment horizontal="right" vertical="top"/>
    </xf>
    <xf numFmtId="0" fontId="29" fillId="9" borderId="1" xfId="0" applyFont="1" applyFill="1" applyBorder="1" applyAlignment="1">
      <alignment vertical="top"/>
    </xf>
    <xf numFmtId="49" fontId="30" fillId="9" borderId="1" xfId="0" applyNumberFormat="1" applyFont="1" applyFill="1" applyBorder="1" applyAlignment="1">
      <alignment horizontal="left" vertical="top" wrapText="1"/>
    </xf>
    <xf numFmtId="0" fontId="30" fillId="9" borderId="0" xfId="0" applyFont="1" applyFill="1" applyAlignment="1">
      <alignment vertical="top"/>
    </xf>
    <xf numFmtId="0" fontId="30" fillId="9" borderId="1" xfId="0" applyFont="1" applyFill="1" applyBorder="1" applyAlignment="1">
      <alignment horizontal="center" vertical="top" wrapText="1"/>
    </xf>
    <xf numFmtId="43" fontId="30" fillId="9" borderId="1" xfId="1" applyFont="1" applyFill="1" applyBorder="1" applyAlignment="1">
      <alignment vertical="top"/>
    </xf>
    <xf numFmtId="165" fontId="30" fillId="9" borderId="1" xfId="0" applyNumberFormat="1" applyFont="1" applyFill="1" applyBorder="1" applyAlignment="1">
      <alignment horizontal="center" vertical="top"/>
    </xf>
    <xf numFmtId="43" fontId="30" fillId="9" borderId="1" xfId="1" applyFont="1" applyFill="1" applyBorder="1" applyAlignment="1">
      <alignment horizontal="center" vertical="top"/>
    </xf>
    <xf numFmtId="0" fontId="30" fillId="9" borderId="1" xfId="0" applyFont="1" applyFill="1" applyBorder="1" applyAlignment="1">
      <alignment vertical="top"/>
    </xf>
    <xf numFmtId="49" fontId="33" fillId="2" borderId="1" xfId="0" applyNumberFormat="1" applyFont="1" applyFill="1" applyBorder="1" applyAlignment="1">
      <alignment vertical="top" wrapText="1"/>
    </xf>
    <xf numFmtId="0" fontId="25" fillId="9" borderId="1" xfId="0" applyFont="1" applyFill="1" applyBorder="1" applyAlignment="1">
      <alignment horizontal="center" vertical="top" wrapText="1"/>
    </xf>
    <xf numFmtId="2" fontId="45" fillId="7" borderId="1" xfId="1" applyNumberFormat="1" applyFont="1" applyFill="1" applyBorder="1" applyAlignment="1">
      <alignment horizontal="center" vertical="center" wrapText="1"/>
    </xf>
    <xf numFmtId="49" fontId="32" fillId="9" borderId="1" xfId="0" applyNumberFormat="1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29" fillId="2" borderId="1" xfId="0" applyNumberFormat="1" applyFont="1" applyFill="1" applyBorder="1" applyAlignment="1">
      <alignment horizontal="left" vertical="top" wrapText="1"/>
    </xf>
    <xf numFmtId="49" fontId="30" fillId="2" borderId="1" xfId="0" applyNumberFormat="1" applyFont="1" applyFill="1" applyBorder="1" applyAlignment="1">
      <alignment vertical="top" wrapText="1"/>
    </xf>
    <xf numFmtId="49" fontId="31" fillId="2" borderId="1" xfId="0" applyNumberFormat="1" applyFont="1" applyFill="1" applyBorder="1" applyAlignment="1">
      <alignment horizontal="left" vertical="top" wrapText="1"/>
    </xf>
    <xf numFmtId="166" fontId="46" fillId="2" borderId="1" xfId="0" applyNumberFormat="1" applyFont="1" applyFill="1" applyBorder="1" applyAlignment="1">
      <alignment horizontal="center" vertical="top"/>
    </xf>
    <xf numFmtId="165" fontId="47" fillId="2" borderId="1" xfId="0" applyNumberFormat="1" applyFont="1" applyFill="1" applyBorder="1" applyAlignment="1">
      <alignment horizontal="center" vertical="top"/>
    </xf>
    <xf numFmtId="0" fontId="47" fillId="2" borderId="1" xfId="0" applyFont="1" applyFill="1" applyBorder="1" applyAlignment="1">
      <alignment horizontal="center" vertical="top"/>
    </xf>
    <xf numFmtId="43" fontId="47" fillId="2" borderId="1" xfId="1" applyFont="1" applyFill="1" applyBorder="1" applyAlignment="1">
      <alignment horizontal="center" vertical="top"/>
    </xf>
    <xf numFmtId="0" fontId="47" fillId="2" borderId="1" xfId="0" applyFont="1" applyFill="1" applyBorder="1" applyAlignment="1">
      <alignment vertical="top"/>
    </xf>
    <xf numFmtId="0" fontId="47" fillId="3" borderId="0" xfId="0" applyFont="1" applyFill="1" applyAlignment="1">
      <alignment vertical="top"/>
    </xf>
    <xf numFmtId="43" fontId="30" fillId="0" borderId="1" xfId="1" applyFont="1" applyFill="1" applyBorder="1" applyAlignment="1">
      <alignment vertical="top"/>
    </xf>
    <xf numFmtId="49" fontId="30" fillId="2" borderId="1" xfId="0" applyNumberFormat="1" applyFont="1" applyFill="1" applyBorder="1" applyAlignment="1">
      <alignment horizontal="left" vertical="top" wrapText="1"/>
    </xf>
    <xf numFmtId="43" fontId="30" fillId="2" borderId="1" xfId="1" applyFont="1" applyFill="1" applyBorder="1" applyAlignment="1">
      <alignment vertical="top"/>
    </xf>
    <xf numFmtId="0" fontId="30" fillId="13" borderId="1" xfId="0" applyFont="1" applyFill="1" applyBorder="1" applyAlignment="1">
      <alignment horizontal="center" vertical="top"/>
    </xf>
    <xf numFmtId="43" fontId="29" fillId="13" borderId="1" xfId="1" applyFont="1" applyFill="1" applyBorder="1" applyAlignment="1">
      <alignment horizontal="right" vertical="top"/>
    </xf>
    <xf numFmtId="166" fontId="41" fillId="13" borderId="1" xfId="0" applyNumberFormat="1" applyFont="1" applyFill="1" applyBorder="1" applyAlignment="1">
      <alignment horizontal="center" vertical="top" wrapText="1"/>
    </xf>
    <xf numFmtId="165" fontId="30" fillId="13" borderId="1" xfId="0" applyNumberFormat="1" applyFont="1" applyFill="1" applyBorder="1" applyAlignment="1">
      <alignment vertical="top"/>
    </xf>
    <xf numFmtId="2" fontId="30" fillId="13" borderId="1" xfId="0" applyNumberFormat="1" applyFont="1" applyFill="1" applyBorder="1" applyAlignment="1">
      <alignment horizontal="center" vertical="top"/>
    </xf>
    <xf numFmtId="43" fontId="30" fillId="13" borderId="1" xfId="1" applyFont="1" applyFill="1" applyBorder="1" applyAlignment="1">
      <alignment horizontal="right" vertical="top"/>
    </xf>
    <xf numFmtId="0" fontId="29" fillId="13" borderId="1" xfId="0" applyFont="1" applyFill="1" applyBorder="1" applyAlignment="1">
      <alignment vertical="top"/>
    </xf>
    <xf numFmtId="49" fontId="30" fillId="13" borderId="1" xfId="0" applyNumberFormat="1" applyFont="1" applyFill="1" applyBorder="1" applyAlignment="1">
      <alignment horizontal="left" vertical="top" wrapText="1"/>
    </xf>
    <xf numFmtId="0" fontId="30" fillId="13" borderId="1" xfId="0" applyFont="1" applyFill="1" applyBorder="1" applyAlignment="1">
      <alignment horizontal="center" vertical="top" wrapText="1"/>
    </xf>
    <xf numFmtId="43" fontId="30" fillId="13" borderId="1" xfId="1" applyFont="1" applyFill="1" applyBorder="1" applyAlignment="1">
      <alignment vertical="top"/>
    </xf>
    <xf numFmtId="165" fontId="30" fillId="13" borderId="1" xfId="0" applyNumberFormat="1" applyFont="1" applyFill="1" applyBorder="1" applyAlignment="1">
      <alignment horizontal="center" vertical="top"/>
    </xf>
    <xf numFmtId="43" fontId="30" fillId="13" borderId="1" xfId="1" applyFont="1" applyFill="1" applyBorder="1" applyAlignment="1">
      <alignment horizontal="center" vertical="top"/>
    </xf>
    <xf numFmtId="0" fontId="47" fillId="2" borderId="0" xfId="0" applyFont="1" applyFill="1" applyAlignment="1">
      <alignment vertical="top"/>
    </xf>
    <xf numFmtId="2" fontId="29" fillId="13" borderId="1" xfId="0" applyNumberFormat="1" applyFont="1" applyFill="1" applyBorder="1" applyAlignment="1">
      <alignment horizontal="center" vertical="top"/>
    </xf>
    <xf numFmtId="0" fontId="32" fillId="4" borderId="1" xfId="0" applyFont="1" applyFill="1" applyBorder="1" applyAlignment="1">
      <alignment horizontal="center"/>
    </xf>
    <xf numFmtId="49" fontId="33" fillId="2" borderId="1" xfId="2" applyNumberFormat="1" applyFont="1" applyFill="1" applyBorder="1" applyAlignment="1">
      <alignment wrapText="1"/>
    </xf>
    <xf numFmtId="43" fontId="32" fillId="2" borderId="1" xfId="1" applyFont="1" applyFill="1" applyBorder="1" applyAlignment="1">
      <alignment horizontal="right"/>
    </xf>
    <xf numFmtId="165" fontId="32" fillId="2" borderId="1" xfId="0" applyNumberFormat="1" applyFont="1" applyFill="1" applyBorder="1" applyAlignment="1"/>
    <xf numFmtId="43" fontId="32" fillId="2" borderId="1" xfId="1" applyFont="1" applyFill="1" applyBorder="1" applyAlignment="1">
      <alignment horizontal="center"/>
    </xf>
    <xf numFmtId="43" fontId="33" fillId="2" borderId="1" xfId="1" applyFont="1" applyFill="1" applyBorder="1" applyAlignment="1">
      <alignment horizontal="center"/>
    </xf>
    <xf numFmtId="2" fontId="33" fillId="2" borderId="1" xfId="0" applyNumberFormat="1" applyFont="1" applyFill="1" applyBorder="1" applyAlignment="1">
      <alignment horizontal="center"/>
    </xf>
    <xf numFmtId="43" fontId="33" fillId="2" borderId="1" xfId="1" applyFont="1" applyFill="1" applyBorder="1" applyAlignment="1">
      <alignment horizontal="right"/>
    </xf>
    <xf numFmtId="0" fontId="33" fillId="2" borderId="1" xfId="0" applyFont="1" applyFill="1" applyBorder="1" applyAlignment="1"/>
    <xf numFmtId="49" fontId="32" fillId="0" borderId="1" xfId="0" applyNumberFormat="1" applyFont="1" applyFill="1" applyBorder="1" applyAlignment="1">
      <alignment horizontal="left" wrapText="1"/>
    </xf>
    <xf numFmtId="0" fontId="32" fillId="3" borderId="0" xfId="0" applyFont="1" applyFill="1" applyAlignment="1"/>
    <xf numFmtId="0" fontId="48" fillId="0" borderId="1" xfId="0" applyFont="1" applyFill="1" applyBorder="1" applyAlignment="1">
      <alignment vertical="top"/>
    </xf>
    <xf numFmtId="49" fontId="33" fillId="0" borderId="1" xfId="0" applyNumberFormat="1" applyFont="1" applyFill="1" applyBorder="1" applyAlignment="1">
      <alignment vertical="top" wrapText="1"/>
    </xf>
    <xf numFmtId="49" fontId="32" fillId="0" borderId="1" xfId="0" applyNumberFormat="1" applyFont="1" applyFill="1" applyBorder="1" applyAlignment="1">
      <alignment vertical="top"/>
    </xf>
    <xf numFmtId="49" fontId="32" fillId="0" borderId="1" xfId="0" applyNumberFormat="1" applyFont="1" applyFill="1" applyBorder="1" applyAlignment="1">
      <alignment vertical="center"/>
    </xf>
    <xf numFmtId="49" fontId="33" fillId="0" borderId="1" xfId="0" applyNumberFormat="1" applyFont="1" applyFill="1" applyBorder="1" applyAlignment="1">
      <alignment horizontal="left" vertical="top" wrapText="1"/>
    </xf>
    <xf numFmtId="0" fontId="33" fillId="0" borderId="1" xfId="0" applyNumberFormat="1" applyFont="1" applyFill="1" applyBorder="1" applyAlignment="1">
      <alignment horizontal="left" vertical="top" wrapText="1"/>
    </xf>
    <xf numFmtId="49" fontId="32" fillId="0" borderId="1" xfId="0" applyNumberFormat="1" applyFont="1" applyFill="1" applyBorder="1" applyAlignment="1">
      <alignment horizontal="left" vertical="top"/>
    </xf>
    <xf numFmtId="49" fontId="32" fillId="13" borderId="1" xfId="0" applyNumberFormat="1" applyFont="1" applyFill="1" applyBorder="1" applyAlignment="1">
      <alignment vertical="top" wrapText="1"/>
    </xf>
    <xf numFmtId="0" fontId="18" fillId="0" borderId="0" xfId="0" applyFont="1" applyBorder="1" applyAlignment="1">
      <alignment vertical="top"/>
    </xf>
    <xf numFmtId="164" fontId="3" fillId="0" borderId="0" xfId="0" applyNumberFormat="1" applyFont="1" applyAlignment="1">
      <alignment vertical="top"/>
    </xf>
    <xf numFmtId="43" fontId="29" fillId="2" borderId="1" xfId="1" applyFont="1" applyFill="1" applyBorder="1" applyAlignment="1">
      <alignment horizontal="center" vertical="center"/>
    </xf>
    <xf numFmtId="43" fontId="29" fillId="2" borderId="1" xfId="1" applyFont="1" applyFill="1" applyBorder="1" applyAlignment="1">
      <alignment horizontal="right" vertical="top" wrapText="1"/>
    </xf>
    <xf numFmtId="49" fontId="33" fillId="2" borderId="1" xfId="2" applyNumberFormat="1" applyFont="1" applyFill="1" applyBorder="1" applyAlignment="1">
      <alignment horizontal="left" vertical="top" wrapText="1"/>
    </xf>
    <xf numFmtId="165" fontId="29" fillId="0" borderId="1" xfId="1" applyNumberFormat="1" applyFont="1" applyFill="1" applyBorder="1" applyAlignment="1">
      <alignment horizontal="right" vertical="top"/>
    </xf>
    <xf numFmtId="2" fontId="29" fillId="0" borderId="1" xfId="1" applyNumberFormat="1" applyFont="1" applyFill="1" applyBorder="1" applyAlignment="1">
      <alignment horizontal="center" vertical="top"/>
    </xf>
    <xf numFmtId="43" fontId="30" fillId="0" borderId="1" xfId="1" applyFont="1" applyFill="1" applyBorder="1" applyAlignment="1">
      <alignment horizontal="right" vertical="top" wrapText="1"/>
    </xf>
    <xf numFmtId="0" fontId="28" fillId="0" borderId="1" xfId="0" applyFont="1" applyFill="1" applyBorder="1" applyAlignment="1">
      <alignment horizontal="center" vertical="top" wrapText="1"/>
    </xf>
    <xf numFmtId="0" fontId="32" fillId="3" borderId="0" xfId="0" applyNumberFormat="1" applyFont="1" applyFill="1" applyAlignment="1">
      <alignment vertical="top"/>
    </xf>
    <xf numFmtId="0" fontId="32" fillId="2" borderId="0" xfId="0" applyNumberFormat="1" applyFont="1" applyFill="1" applyAlignment="1">
      <alignment vertical="top"/>
    </xf>
    <xf numFmtId="1" fontId="30" fillId="0" borderId="1" xfId="0" applyNumberFormat="1" applyFont="1" applyFill="1" applyBorder="1" applyAlignment="1">
      <alignment horizontal="center" vertical="top"/>
    </xf>
    <xf numFmtId="49" fontId="29" fillId="0" borderId="1" xfId="2" applyNumberFormat="1" applyFont="1" applyFill="1" applyBorder="1" applyAlignment="1">
      <alignment vertical="top" wrapText="1"/>
    </xf>
    <xf numFmtId="0" fontId="29" fillId="2" borderId="0" xfId="0" applyFont="1" applyFill="1" applyAlignment="1">
      <alignment vertical="top"/>
    </xf>
    <xf numFmtId="43" fontId="30" fillId="2" borderId="1" xfId="1" applyFont="1" applyFill="1" applyBorder="1" applyAlignment="1">
      <alignment vertical="top" wrapText="1"/>
    </xf>
    <xf numFmtId="1" fontId="29" fillId="2" borderId="1" xfId="0" applyNumberFormat="1" applyFont="1" applyFill="1" applyBorder="1" applyAlignment="1">
      <alignment horizontal="center" vertical="top"/>
    </xf>
    <xf numFmtId="0" fontId="30" fillId="0" borderId="1" xfId="0" applyFont="1" applyFill="1" applyBorder="1" applyAlignment="1">
      <alignment vertical="center"/>
    </xf>
    <xf numFmtId="0" fontId="30" fillId="3" borderId="0" xfId="0" applyFont="1" applyFill="1" applyAlignment="1">
      <alignment vertical="center"/>
    </xf>
    <xf numFmtId="0" fontId="25" fillId="0" borderId="1" xfId="0" applyFont="1" applyFill="1" applyBorder="1" applyAlignment="1">
      <alignment horizontal="center" vertical="top" wrapText="1"/>
    </xf>
    <xf numFmtId="43" fontId="29" fillId="0" borderId="1" xfId="1" applyFont="1" applyFill="1" applyBorder="1" applyAlignment="1">
      <alignment vertical="top"/>
    </xf>
    <xf numFmtId="49" fontId="34" fillId="0" borderId="1" xfId="2" applyNumberFormat="1" applyFont="1" applyFill="1" applyBorder="1" applyAlignment="1">
      <alignment vertical="top" wrapText="1"/>
    </xf>
    <xf numFmtId="49" fontId="33" fillId="0" borderId="1" xfId="2" applyNumberFormat="1" applyFont="1" applyFill="1" applyBorder="1" applyAlignment="1">
      <alignment vertical="top" wrapText="1"/>
    </xf>
    <xf numFmtId="43" fontId="30" fillId="0" borderId="1" xfId="0" applyNumberFormat="1" applyFont="1" applyFill="1" applyBorder="1" applyAlignment="1">
      <alignment vertical="top"/>
    </xf>
    <xf numFmtId="0" fontId="3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 wrapText="1"/>
    </xf>
    <xf numFmtId="165" fontId="38" fillId="0" borderId="1" xfId="0" applyNumberFormat="1" applyFont="1" applyFill="1" applyBorder="1" applyAlignment="1">
      <alignment horizontal="center" vertical="top" wrapText="1"/>
    </xf>
    <xf numFmtId="165" fontId="38" fillId="0" borderId="1" xfId="0" applyNumberFormat="1" applyFont="1" applyFill="1" applyBorder="1" applyAlignment="1">
      <alignment horizontal="center" vertical="top"/>
    </xf>
    <xf numFmtId="0" fontId="30" fillId="0" borderId="1" xfId="0" applyFont="1" applyFill="1" applyBorder="1" applyAlignment="1"/>
    <xf numFmtId="43" fontId="38" fillId="0" borderId="1" xfId="1" applyFont="1" applyFill="1" applyBorder="1" applyAlignment="1">
      <alignment horizontal="center" vertical="top" wrapText="1"/>
    </xf>
    <xf numFmtId="0" fontId="30" fillId="0" borderId="0" xfId="0" applyFont="1" applyFill="1" applyAlignment="1">
      <alignment horizontal="center"/>
    </xf>
    <xf numFmtId="49" fontId="31" fillId="0" borderId="1" xfId="2" applyNumberFormat="1" applyFont="1" applyFill="1" applyBorder="1" applyAlignment="1">
      <alignment horizontal="left" vertical="top" wrapText="1"/>
    </xf>
    <xf numFmtId="166" fontId="41" fillId="0" borderId="1" xfId="0" applyNumberFormat="1" applyFont="1" applyFill="1" applyBorder="1" applyAlignment="1">
      <alignment horizontal="center" wrapText="1"/>
    </xf>
    <xf numFmtId="14" fontId="39" fillId="0" borderId="1" xfId="1" applyNumberFormat="1" applyFont="1" applyFill="1" applyBorder="1" applyAlignment="1">
      <alignment horizontal="center"/>
    </xf>
    <xf numFmtId="14" fontId="38" fillId="0" borderId="1" xfId="0" applyNumberFormat="1" applyFont="1" applyFill="1" applyBorder="1" applyAlignment="1">
      <alignment horizontal="center" wrapText="1"/>
    </xf>
    <xf numFmtId="43" fontId="39" fillId="0" borderId="1" xfId="1" applyFont="1" applyFill="1" applyBorder="1" applyAlignment="1">
      <alignment horizontal="center"/>
    </xf>
    <xf numFmtId="43" fontId="29" fillId="0" borderId="1" xfId="1" applyFont="1" applyFill="1" applyBorder="1" applyAlignment="1">
      <alignment horizontal="center"/>
    </xf>
    <xf numFmtId="43" fontId="30" fillId="0" borderId="1" xfId="0" applyNumberFormat="1" applyFont="1" applyFill="1" applyBorder="1" applyAlignment="1">
      <alignment horizontal="center" wrapText="1"/>
    </xf>
    <xf numFmtId="49" fontId="29" fillId="0" borderId="1" xfId="2" applyNumberFormat="1" applyFont="1" applyFill="1" applyBorder="1" applyAlignment="1">
      <alignment horizontal="left" vertical="top" wrapText="1"/>
    </xf>
    <xf numFmtId="2" fontId="30" fillId="0" borderId="1" xfId="0" applyNumberFormat="1" applyFont="1" applyFill="1" applyBorder="1" applyAlignment="1">
      <alignment horizontal="center"/>
    </xf>
    <xf numFmtId="14" fontId="29" fillId="0" borderId="1" xfId="1" applyNumberFormat="1" applyFont="1" applyFill="1" applyBorder="1" applyAlignment="1">
      <alignment horizontal="center"/>
    </xf>
    <xf numFmtId="14" fontId="30" fillId="0" borderId="1" xfId="0" applyNumberFormat="1" applyFont="1" applyFill="1" applyBorder="1" applyAlignment="1">
      <alignment horizontal="center" wrapText="1"/>
    </xf>
    <xf numFmtId="43" fontId="29" fillId="0" borderId="1" xfId="1" applyFont="1" applyFill="1" applyBorder="1" applyAlignment="1">
      <alignment horizontal="right"/>
    </xf>
    <xf numFmtId="166" fontId="42" fillId="0" borderId="1" xfId="0" applyNumberFormat="1" applyFont="1" applyFill="1" applyBorder="1" applyAlignment="1">
      <alignment horizontal="center" vertical="top" wrapText="1"/>
    </xf>
    <xf numFmtId="0" fontId="32" fillId="0" borderId="0" xfId="0" applyFont="1" applyFill="1" applyAlignment="1">
      <alignment vertical="top"/>
    </xf>
    <xf numFmtId="43" fontId="33" fillId="0" borderId="1" xfId="0" applyNumberFormat="1" applyFont="1" applyFill="1" applyBorder="1" applyAlignment="1">
      <alignment vertical="top"/>
    </xf>
    <xf numFmtId="43" fontId="35" fillId="2" borderId="1" xfId="1" applyFont="1" applyFill="1" applyBorder="1" applyAlignment="1">
      <alignment horizontal="center" vertical="top" wrapText="1"/>
    </xf>
    <xf numFmtId="49" fontId="30" fillId="0" borderId="1" xfId="0" applyNumberFormat="1" applyFont="1" applyFill="1" applyBorder="1" applyAlignment="1">
      <alignment horizontal="left" vertical="center" wrapText="1"/>
    </xf>
    <xf numFmtId="43" fontId="29" fillId="15" borderId="1" xfId="1" applyFont="1" applyFill="1" applyBorder="1" applyAlignment="1">
      <alignment vertical="top"/>
    </xf>
    <xf numFmtId="49" fontId="40" fillId="0" borderId="1" xfId="0" applyNumberFormat="1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/>
    </xf>
    <xf numFmtId="166" fontId="43" fillId="0" borderId="1" xfId="0" applyNumberFormat="1" applyFont="1" applyFill="1" applyBorder="1" applyAlignment="1">
      <alignment horizontal="center" vertical="top" wrapText="1"/>
    </xf>
    <xf numFmtId="165" fontId="47" fillId="0" borderId="1" xfId="0" applyNumberFormat="1" applyFont="1" applyFill="1" applyBorder="1" applyAlignment="1">
      <alignment horizontal="center" vertical="top"/>
    </xf>
    <xf numFmtId="0" fontId="47" fillId="0" borderId="1" xfId="0" applyFont="1" applyFill="1" applyBorder="1" applyAlignment="1">
      <alignment horizontal="center" vertical="top"/>
    </xf>
    <xf numFmtId="43" fontId="47" fillId="0" borderId="1" xfId="1" applyFont="1" applyFill="1" applyBorder="1" applyAlignment="1">
      <alignment horizontal="center" vertical="top"/>
    </xf>
    <xf numFmtId="0" fontId="47" fillId="0" borderId="1" xfId="0" applyFont="1" applyFill="1" applyBorder="1" applyAlignment="1">
      <alignment vertical="top"/>
    </xf>
    <xf numFmtId="0" fontId="47" fillId="0" borderId="0" xfId="0" applyFont="1" applyFill="1" applyAlignment="1">
      <alignment vertical="top"/>
    </xf>
    <xf numFmtId="49" fontId="29" fillId="13" borderId="1" xfId="2" applyNumberFormat="1" applyFont="1" applyFill="1" applyBorder="1" applyAlignment="1">
      <alignment vertical="top" wrapText="1"/>
    </xf>
    <xf numFmtId="43" fontId="29" fillId="13" borderId="1" xfId="1" applyFont="1" applyFill="1" applyBorder="1" applyAlignment="1">
      <alignment horizontal="center" vertical="top"/>
    </xf>
    <xf numFmtId="43" fontId="29" fillId="13" borderId="1" xfId="1" applyFont="1" applyFill="1" applyBorder="1" applyAlignment="1">
      <alignment vertical="top"/>
    </xf>
    <xf numFmtId="0" fontId="29" fillId="0" borderId="1" xfId="0" applyNumberFormat="1" applyFont="1" applyFill="1" applyBorder="1" applyAlignment="1">
      <alignment horizontal="center" vertical="top"/>
    </xf>
    <xf numFmtId="0" fontId="29" fillId="0" borderId="1" xfId="0" applyNumberFormat="1" applyFont="1" applyFill="1" applyBorder="1" applyAlignment="1">
      <alignment vertical="top"/>
    </xf>
    <xf numFmtId="0" fontId="29" fillId="0" borderId="1" xfId="1" applyNumberFormat="1" applyFont="1" applyFill="1" applyBorder="1" applyAlignment="1">
      <alignment horizontal="center" vertical="top"/>
    </xf>
    <xf numFmtId="0" fontId="2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25" fillId="1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1" fillId="0" borderId="1" xfId="0" applyFont="1" applyFill="1" applyBorder="1" applyAlignment="1">
      <alignment horizontal="left" vertical="top"/>
    </xf>
    <xf numFmtId="0" fontId="18" fillId="2" borderId="1" xfId="0" applyFont="1" applyFill="1" applyBorder="1" applyAlignment="1">
      <alignment vertical="top" wrapText="1"/>
    </xf>
    <xf numFmtId="168" fontId="12" fillId="2" borderId="1" xfId="1" applyNumberFormat="1" applyFont="1" applyFill="1" applyBorder="1" applyAlignment="1">
      <alignment horizontal="right" vertical="top"/>
    </xf>
    <xf numFmtId="0" fontId="6" fillId="0" borderId="1" xfId="0" applyFont="1" applyFill="1" applyBorder="1" applyAlignment="1">
      <alignment horizontal="center" vertical="top"/>
    </xf>
    <xf numFmtId="43" fontId="12" fillId="0" borderId="1" xfId="1" applyFont="1" applyBorder="1" applyAlignment="1">
      <alignment vertical="top" wrapText="1"/>
    </xf>
    <xf numFmtId="43" fontId="18" fillId="2" borderId="1" xfId="1" applyNumberFormat="1" applyFont="1" applyFill="1" applyBorder="1" applyAlignment="1">
      <alignment horizontal="right" vertical="top"/>
    </xf>
    <xf numFmtId="0" fontId="25" fillId="0" borderId="0" xfId="0" applyFont="1" applyAlignment="1">
      <alignment vertical="center"/>
    </xf>
    <xf numFmtId="0" fontId="11" fillId="11" borderId="2" xfId="0" applyFont="1" applyFill="1" applyBorder="1" applyAlignment="1">
      <alignment vertical="center"/>
    </xf>
    <xf numFmtId="43" fontId="11" fillId="13" borderId="1" xfId="1" applyFont="1" applyFill="1" applyBorder="1" applyAlignment="1">
      <alignment vertical="top"/>
    </xf>
    <xf numFmtId="43" fontId="19" fillId="0" borderId="1" xfId="1" applyFont="1" applyFill="1" applyBorder="1" applyAlignment="1">
      <alignment vertical="top"/>
    </xf>
    <xf numFmtId="43" fontId="11" fillId="0" borderId="1" xfId="1" applyFont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43" fontId="12" fillId="0" borderId="1" xfId="0" applyNumberFormat="1" applyFont="1" applyFill="1" applyBorder="1" applyAlignment="1">
      <alignment horizontal="center" vertical="center"/>
    </xf>
    <xf numFmtId="43" fontId="12" fillId="0" borderId="1" xfId="1" applyFont="1" applyFill="1" applyBorder="1" applyAlignment="1">
      <alignment horizontal="center" vertical="center"/>
    </xf>
    <xf numFmtId="168" fontId="12" fillId="0" borderId="1" xfId="0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horizontal="right" vertical="center" wrapText="1"/>
    </xf>
    <xf numFmtId="0" fontId="2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0" fillId="10" borderId="0" xfId="0" applyFill="1"/>
    <xf numFmtId="0" fontId="0" fillId="0" borderId="1" xfId="0" applyBorder="1"/>
    <xf numFmtId="0" fontId="0" fillId="0" borderId="1" xfId="0" applyBorder="1" applyAlignment="1">
      <alignment vertical="top"/>
    </xf>
    <xf numFmtId="43" fontId="11" fillId="0" borderId="2" xfId="1" applyFont="1" applyBorder="1" applyAlignment="1">
      <alignment vertical="center"/>
    </xf>
    <xf numFmtId="0" fontId="0" fillId="0" borderId="4" xfId="0" applyBorder="1"/>
    <xf numFmtId="0" fontId="0" fillId="11" borderId="6" xfId="0" applyFill="1" applyBorder="1"/>
    <xf numFmtId="0" fontId="0" fillId="12" borderId="1" xfId="0" applyFill="1" applyBorder="1"/>
    <xf numFmtId="0" fontId="0" fillId="12" borderId="1" xfId="0" applyFill="1" applyBorder="1" applyAlignment="1">
      <alignment vertical="top"/>
    </xf>
    <xf numFmtId="0" fontId="11" fillId="10" borderId="1" xfId="0" applyFont="1" applyFill="1" applyBorder="1" applyAlignment="1" applyProtection="1">
      <alignment vertical="center" wrapText="1"/>
    </xf>
    <xf numFmtId="49" fontId="13" fillId="0" borderId="1" xfId="0" applyNumberFormat="1" applyFont="1" applyBorder="1" applyAlignment="1">
      <alignment vertical="top" wrapText="1"/>
    </xf>
    <xf numFmtId="0" fontId="12" fillId="13" borderId="1" xfId="0" applyFont="1" applyFill="1" applyBorder="1" applyAlignment="1">
      <alignment horizontal="center" vertical="top"/>
    </xf>
    <xf numFmtId="0" fontId="12" fillId="12" borderId="1" xfId="0" applyFont="1" applyFill="1" applyBorder="1" applyAlignment="1">
      <alignment vertical="center"/>
    </xf>
    <xf numFmtId="0" fontId="12" fillId="10" borderId="1" xfId="0" applyFont="1" applyFill="1" applyBorder="1" applyAlignment="1" applyProtection="1">
      <alignment vertical="center"/>
    </xf>
    <xf numFmtId="43" fontId="12" fillId="0" borderId="0" xfId="1" applyFont="1" applyBorder="1" applyAlignment="1">
      <alignment vertical="top"/>
    </xf>
    <xf numFmtId="43" fontId="11" fillId="10" borderId="6" xfId="1" applyFont="1" applyFill="1" applyBorder="1" applyAlignment="1" applyProtection="1">
      <alignment horizontal="right" vertical="center"/>
    </xf>
    <xf numFmtId="43" fontId="11" fillId="10" borderId="6" xfId="1" applyFont="1" applyFill="1" applyBorder="1" applyAlignment="1" applyProtection="1">
      <alignment vertical="center" wrapText="1"/>
    </xf>
    <xf numFmtId="43" fontId="11" fillId="10" borderId="6" xfId="1" applyFont="1" applyFill="1" applyBorder="1" applyAlignment="1" applyProtection="1">
      <alignment horizontal="right" vertical="center" wrapText="1"/>
    </xf>
    <xf numFmtId="0" fontId="14" fillId="0" borderId="1" xfId="0" applyFont="1" applyFill="1" applyBorder="1" applyAlignment="1">
      <alignment horizontal="center" vertical="top" wrapText="1"/>
    </xf>
    <xf numFmtId="0" fontId="19" fillId="13" borderId="1" xfId="0" applyFont="1" applyFill="1" applyBorder="1" applyAlignment="1">
      <alignment horizontal="left" vertical="top" wrapText="1"/>
    </xf>
    <xf numFmtId="0" fontId="14" fillId="13" borderId="1" xfId="0" applyFont="1" applyFill="1" applyBorder="1" applyAlignment="1">
      <alignment horizontal="center" vertical="top" wrapText="1"/>
    </xf>
    <xf numFmtId="43" fontId="14" fillId="13" borderId="1" xfId="1" applyFont="1" applyFill="1" applyBorder="1" applyAlignment="1">
      <alignment horizontal="right" vertical="top" wrapText="1"/>
    </xf>
    <xf numFmtId="43" fontId="18" fillId="13" borderId="1" xfId="1" applyFont="1" applyFill="1" applyBorder="1" applyAlignment="1">
      <alignment horizontal="right" vertical="top" wrapText="1"/>
    </xf>
    <xf numFmtId="43" fontId="19" fillId="13" borderId="1" xfId="1" applyFont="1" applyFill="1" applyBorder="1" applyAlignment="1">
      <alignment horizontal="right" vertical="top" wrapText="1"/>
    </xf>
    <xf numFmtId="43" fontId="12" fillId="13" borderId="1" xfId="1" applyFont="1" applyFill="1" applyBorder="1" applyAlignment="1">
      <alignment horizontal="right" vertical="top"/>
    </xf>
    <xf numFmtId="0" fontId="21" fillId="11" borderId="1" xfId="0" applyFont="1" applyFill="1" applyBorder="1" applyAlignment="1">
      <alignment horizontal="center" vertical="center" wrapText="1"/>
    </xf>
    <xf numFmtId="43" fontId="21" fillId="11" borderId="1" xfId="1" applyFont="1" applyFill="1" applyBorder="1" applyAlignment="1">
      <alignment horizontal="right" vertical="center" wrapText="1"/>
    </xf>
    <xf numFmtId="43" fontId="11" fillId="11" borderId="1" xfId="1" applyFont="1" applyFill="1" applyBorder="1" applyAlignment="1">
      <alignment vertical="center"/>
    </xf>
    <xf numFmtId="0" fontId="12" fillId="11" borderId="1" xfId="0" applyFont="1" applyFill="1" applyBorder="1" applyAlignment="1">
      <alignment vertical="center"/>
    </xf>
    <xf numFmtId="168" fontId="12" fillId="2" borderId="1" xfId="1" applyNumberFormat="1" applyFont="1" applyFill="1" applyBorder="1" applyAlignment="1">
      <alignment vertical="top" wrapText="1"/>
    </xf>
    <xf numFmtId="0" fontId="55" fillId="16" borderId="1" xfId="0" applyFont="1" applyFill="1" applyBorder="1" applyAlignment="1">
      <alignment horizontal="center" vertical="center"/>
    </xf>
    <xf numFmtId="43" fontId="55" fillId="16" borderId="1" xfId="1" applyFont="1" applyFill="1" applyBorder="1" applyAlignment="1">
      <alignment horizontal="right" vertical="center"/>
    </xf>
    <xf numFmtId="43" fontId="29" fillId="7" borderId="1" xfId="1" applyFont="1" applyFill="1" applyBorder="1" applyAlignment="1">
      <alignment horizontal="center" vertical="center" wrapText="1"/>
    </xf>
    <xf numFmtId="43" fontId="29" fillId="7" borderId="1" xfId="1" applyFont="1" applyFill="1" applyBorder="1" applyAlignment="1">
      <alignment horizontal="center" vertical="center"/>
    </xf>
    <xf numFmtId="49" fontId="29" fillId="7" borderId="1" xfId="0" applyNumberFormat="1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29" fillId="7" borderId="1" xfId="0" applyFont="1" applyFill="1" applyBorder="1" applyAlignment="1">
      <alignment horizontal="center" vertical="center" wrapText="1"/>
    </xf>
    <xf numFmtId="166" fontId="29" fillId="7" borderId="1" xfId="0" applyNumberFormat="1" applyFont="1" applyFill="1" applyBorder="1" applyAlignment="1">
      <alignment horizontal="center" vertical="center" wrapText="1"/>
    </xf>
    <xf numFmtId="166" fontId="29" fillId="7" borderId="1" xfId="0" applyNumberFormat="1" applyFont="1" applyFill="1" applyBorder="1" applyAlignment="1">
      <alignment horizontal="center" vertical="center"/>
    </xf>
    <xf numFmtId="165" fontId="29" fillId="7" borderId="1" xfId="0" applyNumberFormat="1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center" vertical="center"/>
    </xf>
    <xf numFmtId="0" fontId="30" fillId="14" borderId="4" xfId="0" applyFont="1" applyFill="1" applyBorder="1" applyAlignment="1">
      <alignment horizontal="center" vertical="center"/>
    </xf>
    <xf numFmtId="43" fontId="29" fillId="3" borderId="1" xfId="1" applyFont="1" applyFill="1" applyBorder="1" applyAlignment="1">
      <alignment horizontal="center" vertical="top" wrapText="1"/>
    </xf>
    <xf numFmtId="164" fontId="29" fillId="3" borderId="3" xfId="0" applyNumberFormat="1" applyFont="1" applyFill="1" applyBorder="1" applyAlignment="1">
      <alignment horizontal="center" vertical="top"/>
    </xf>
    <xf numFmtId="0" fontId="29" fillId="3" borderId="2" xfId="0" applyFont="1" applyFill="1" applyBorder="1" applyAlignment="1">
      <alignment horizontal="center" vertical="top"/>
    </xf>
    <xf numFmtId="0" fontId="30" fillId="14" borderId="3" xfId="0" applyFont="1" applyFill="1" applyBorder="1" applyAlignment="1">
      <alignment horizontal="center" vertical="center"/>
    </xf>
    <xf numFmtId="0" fontId="30" fillId="14" borderId="7" xfId="0" applyFont="1" applyFill="1" applyBorder="1" applyAlignment="1">
      <alignment horizontal="center" vertical="center"/>
    </xf>
    <xf numFmtId="0" fontId="30" fillId="14" borderId="2" xfId="0" applyFont="1" applyFill="1" applyBorder="1" applyAlignment="1">
      <alignment horizontal="center" vertical="center"/>
    </xf>
    <xf numFmtId="43" fontId="29" fillId="3" borderId="1" xfId="1" applyFont="1" applyFill="1" applyBorder="1" applyAlignment="1">
      <alignment horizontal="center" vertical="top"/>
    </xf>
    <xf numFmtId="0" fontId="5" fillId="0" borderId="0" xfId="0" applyFont="1" applyBorder="1" applyAlignment="1">
      <alignment horizontal="right" vertical="center" wrapText="1"/>
    </xf>
    <xf numFmtId="0" fontId="25" fillId="0" borderId="0" xfId="0" applyFont="1" applyAlignment="1">
      <alignment horizontal="center" vertical="center"/>
    </xf>
    <xf numFmtId="43" fontId="22" fillId="0" borderId="0" xfId="1" applyFont="1" applyFill="1" applyBorder="1" applyAlignment="1">
      <alignment horizontal="center" vertical="center" wrapText="1"/>
    </xf>
    <xf numFmtId="17" fontId="11" fillId="0" borderId="1" xfId="0" applyNumberFormat="1" applyFont="1" applyBorder="1" applyAlignment="1" applyProtection="1">
      <alignment horizontal="center" vertical="center"/>
    </xf>
    <xf numFmtId="0" fontId="11" fillId="10" borderId="1" xfId="0" applyFont="1" applyFill="1" applyBorder="1" applyAlignment="1" applyProtection="1">
      <alignment horizontal="left" vertical="center" wrapText="1"/>
    </xf>
    <xf numFmtId="0" fontId="11" fillId="10" borderId="1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>
      <alignment horizontal="left" vertical="top" wrapText="1"/>
    </xf>
    <xf numFmtId="0" fontId="11" fillId="11" borderId="6" xfId="0" applyFont="1" applyFill="1" applyBorder="1" applyAlignment="1">
      <alignment horizontal="center" vertical="center"/>
    </xf>
    <xf numFmtId="43" fontId="11" fillId="11" borderId="1" xfId="1" applyFont="1" applyFill="1" applyBorder="1" applyAlignment="1" applyProtection="1">
      <alignment horizontal="center" vertical="center"/>
    </xf>
    <xf numFmtId="0" fontId="11" fillId="11" borderId="1" xfId="0" applyFont="1" applyFill="1" applyBorder="1" applyAlignment="1" applyProtection="1">
      <alignment horizontal="center" vertical="center" wrapText="1"/>
    </xf>
    <xf numFmtId="43" fontId="11" fillId="11" borderId="6" xfId="1" applyFont="1" applyFill="1" applyBorder="1" applyAlignment="1" applyProtection="1">
      <alignment horizontal="center" vertical="center" wrapText="1"/>
    </xf>
    <xf numFmtId="43" fontId="11" fillId="11" borderId="4" xfId="1" applyFont="1" applyFill="1" applyBorder="1" applyAlignment="1" applyProtection="1">
      <alignment horizontal="center" vertical="center" wrapText="1"/>
    </xf>
    <xf numFmtId="43" fontId="11" fillId="11" borderId="6" xfId="1" applyFont="1" applyFill="1" applyBorder="1" applyAlignment="1" applyProtection="1">
      <alignment horizontal="center" vertical="center"/>
    </xf>
    <xf numFmtId="43" fontId="11" fillId="11" borderId="4" xfId="1" applyFont="1" applyFill="1" applyBorder="1" applyAlignment="1" applyProtection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1" fillId="10" borderId="6" xfId="0" applyFont="1" applyFill="1" applyBorder="1" applyAlignment="1" applyProtection="1">
      <alignment horizontal="left" vertical="center" wrapText="1"/>
    </xf>
    <xf numFmtId="0" fontId="11" fillId="10" borderId="6" xfId="0" applyFont="1" applyFill="1" applyBorder="1" applyAlignment="1" applyProtection="1">
      <alignment horizontal="left" vertical="center"/>
    </xf>
    <xf numFmtId="0" fontId="11" fillId="10" borderId="1" xfId="0" applyFont="1" applyFill="1" applyBorder="1" applyAlignment="1" applyProtection="1">
      <alignment vertical="center"/>
    </xf>
    <xf numFmtId="0" fontId="11" fillId="10" borderId="1" xfId="0" applyFont="1" applyFill="1" applyBorder="1" applyAlignment="1" applyProtection="1">
      <alignment vertical="center" wrapText="1"/>
    </xf>
    <xf numFmtId="0" fontId="11" fillId="11" borderId="3" xfId="0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right" vertical="center" wrapText="1"/>
    </xf>
    <xf numFmtId="0" fontId="54" fillId="16" borderId="8" xfId="0" applyFont="1" applyFill="1" applyBorder="1" applyAlignment="1">
      <alignment horizontal="center" vertical="center" wrapText="1"/>
    </xf>
    <xf numFmtId="43" fontId="17" fillId="0" borderId="0" xfId="1" applyFont="1" applyFill="1" applyBorder="1" applyAlignment="1">
      <alignment horizontal="center" vertical="center" wrapText="1"/>
    </xf>
  </cellXfs>
  <cellStyles count="18">
    <cellStyle name="Comma" xfId="1" builtinId="3"/>
    <cellStyle name="Comma 2" xfId="3"/>
    <cellStyle name="Comma 2 2" xfId="4"/>
    <cellStyle name="Normal" xfId="0" builtinId="0"/>
    <cellStyle name="Normal 2" xfId="5"/>
    <cellStyle name="Normal 2 2" xfId="6"/>
    <cellStyle name="Normal 2 3" xfId="7"/>
    <cellStyle name="เครื่องหมายจุลภาค 2" xfId="8"/>
    <cellStyle name="เครื่องหมายจุลภาค 3" xfId="9"/>
    <cellStyle name="ปกติ 2" xfId="10"/>
    <cellStyle name="ปกติ 2 2" xfId="11"/>
    <cellStyle name="ปกติ 3" xfId="12"/>
    <cellStyle name="ปกติ 4" xfId="13"/>
    <cellStyle name="ปกติ 4 2" xfId="14"/>
    <cellStyle name="ปกติ 5" xfId="15"/>
    <cellStyle name="ปกติ 5 2" xfId="16"/>
    <cellStyle name="ปกติ 6" xfId="17"/>
    <cellStyle name="ปกติ_รายละเอียดงบรายจ่าย-รายการ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1333499</xdr:colOff>
      <xdr:row>0</xdr:row>
      <xdr:rowOff>1</xdr:rowOff>
    </xdr:from>
    <xdr:to>
      <xdr:col>13</xdr:col>
      <xdr:colOff>5476875</xdr:colOff>
      <xdr:row>2</xdr:row>
      <xdr:rowOff>738188</xdr:rowOff>
    </xdr:to>
    <xdr:sp macro="" textlink="">
      <xdr:nvSpPr>
        <xdr:cNvPr id="2" name="TextBox 1"/>
        <xdr:cNvSpPr txBox="1"/>
      </xdr:nvSpPr>
      <xdr:spPr>
        <a:xfrm>
          <a:off x="24312562" y="1"/>
          <a:ext cx="8262938" cy="1833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800" b="1">
              <a:latin typeface="TH SarabunPSK" pitchFamily="34" charset="-34"/>
              <a:cs typeface="TH SarabunPSK" pitchFamily="34" charset="-34"/>
            </a:rPr>
            <a:t>  </a:t>
          </a:r>
          <a:r>
            <a:rPr lang="en-US" sz="2800" b="1">
              <a:latin typeface="TH SarabunPSK" pitchFamily="34" charset="-34"/>
              <a:cs typeface="TH SarabunPSK" pitchFamily="34" charset="-34"/>
            </a:rPr>
            <a:t>                  </a:t>
          </a:r>
          <a:r>
            <a:rPr lang="th-TH" sz="2800" b="1">
              <a:latin typeface="TH SarabunPSK" pitchFamily="34" charset="-34"/>
              <a:cs typeface="TH SarabunPSK" pitchFamily="34" charset="-34"/>
            </a:rPr>
            <a:t>  วงเงินจัดสรร   </a:t>
          </a:r>
          <a:r>
            <a:rPr lang="en-US" sz="2800" b="1">
              <a:latin typeface="TH SarabunPSK" pitchFamily="34" charset="-34"/>
              <a:cs typeface="TH SarabunPSK" pitchFamily="34" charset="-34"/>
            </a:rPr>
            <a:t>291</a:t>
          </a:r>
          <a:r>
            <a:rPr lang="th-TH" sz="2800" b="1">
              <a:latin typeface="TH SarabunPSK" pitchFamily="34" charset="-34"/>
              <a:cs typeface="TH SarabunPSK" pitchFamily="34" charset="-34"/>
            </a:rPr>
            <a:t>,</a:t>
          </a:r>
          <a:r>
            <a:rPr lang="en-US" sz="2800" b="1">
              <a:latin typeface="TH SarabunPSK" pitchFamily="34" charset="-34"/>
              <a:cs typeface="TH SarabunPSK" pitchFamily="34" charset="-34"/>
            </a:rPr>
            <a:t>351</a:t>
          </a:r>
          <a:r>
            <a:rPr lang="th-TH" sz="2800" b="1">
              <a:latin typeface="TH SarabunPSK" pitchFamily="34" charset="-34"/>
              <a:cs typeface="TH SarabunPSK" pitchFamily="34" charset="-34"/>
            </a:rPr>
            <a:t>,</a:t>
          </a:r>
          <a:r>
            <a:rPr lang="en-US" sz="2800" b="1">
              <a:latin typeface="TH SarabunPSK" pitchFamily="34" charset="-34"/>
              <a:cs typeface="TH SarabunPSK" pitchFamily="34" charset="-34"/>
            </a:rPr>
            <a:t>600</a:t>
          </a:r>
          <a:r>
            <a:rPr lang="th-TH" sz="2800" b="1">
              <a:latin typeface="TH SarabunPSK" pitchFamily="34" charset="-34"/>
              <a:cs typeface="TH SarabunPSK" pitchFamily="34" charset="-34"/>
            </a:rPr>
            <a:t>  บาท</a:t>
          </a:r>
        </a:p>
        <a:p>
          <a:r>
            <a:rPr lang="th-TH" sz="2800" b="1" baseline="0">
              <a:latin typeface="TH SarabunPSK" pitchFamily="34" charset="-34"/>
              <a:cs typeface="TH SarabunPSK" pitchFamily="34" charset="-34"/>
            </a:rPr>
            <a:t>                     </a:t>
          </a:r>
          <a:r>
            <a:rPr lang="en-US" sz="2800" b="1" baseline="0">
              <a:latin typeface="TH SarabunPSK" pitchFamily="34" charset="-34"/>
              <a:cs typeface="TH SarabunPSK" pitchFamily="34" charset="-34"/>
            </a:rPr>
            <a:t> </a:t>
          </a:r>
          <a:r>
            <a:rPr lang="th-TH" sz="2800" b="1" baseline="0">
              <a:latin typeface="TH SarabunPSK" pitchFamily="34" charset="-34"/>
              <a:cs typeface="TH SarabunPSK" pitchFamily="34" charset="-34"/>
            </a:rPr>
            <a:t>ข้อมูล ณ วันที่</a:t>
          </a:r>
          <a:r>
            <a:rPr lang="en-US" sz="2800" b="1" baseline="0">
              <a:latin typeface="TH SarabunPSK" pitchFamily="34" charset="-34"/>
              <a:cs typeface="TH SarabunPSK" pitchFamily="34" charset="-34"/>
            </a:rPr>
            <a:t> </a:t>
          </a:r>
          <a:r>
            <a:rPr lang="th-TH" sz="2800" b="1" baseline="0">
              <a:latin typeface="TH SarabunPSK" pitchFamily="34" charset="-34"/>
              <a:cs typeface="TH SarabunPSK" pitchFamily="34" charset="-34"/>
            </a:rPr>
            <a:t> 2  เมษายน 2562</a:t>
          </a:r>
        </a:p>
        <a:p>
          <a:r>
            <a:rPr lang="th-TH" sz="2800" b="1" baseline="0">
              <a:latin typeface="TH SarabunPSK" pitchFamily="34" charset="-34"/>
              <a:cs typeface="TH SarabunPSK" pitchFamily="34" charset="-34"/>
            </a:rPr>
            <a:t>                      สีเขียว </a:t>
          </a:r>
          <a:r>
            <a:rPr lang="en-US" sz="2800" b="1" baseline="0">
              <a:latin typeface="TH SarabunPSK" pitchFamily="34" charset="-34"/>
              <a:cs typeface="TH SarabunPSK" pitchFamily="34" charset="-34"/>
            </a:rPr>
            <a:t>= </a:t>
          </a:r>
          <a:r>
            <a:rPr lang="th-TH" sz="2800" b="1" baseline="0">
              <a:latin typeface="TH SarabunPSK" pitchFamily="34" charset="-34"/>
              <a:cs typeface="TH SarabunPSK" pitchFamily="34" charset="-34"/>
            </a:rPr>
            <a:t>โอนเปลี่ยนแปลงงบประมาณ (รอ อ.ก.บ.ภ.ภาค)</a:t>
          </a:r>
        </a:p>
        <a:p>
          <a:r>
            <a:rPr lang="th-TH" sz="2800" b="1" baseline="0">
              <a:latin typeface="TH SarabunPSK" pitchFamily="34" charset="-34"/>
              <a:cs typeface="TH SarabunPSK" pitchFamily="34" charset="-34"/>
            </a:rPr>
            <a:t>                      สีส้ม </a:t>
          </a:r>
          <a:r>
            <a:rPr lang="en-US" sz="2800" b="1" baseline="0">
              <a:latin typeface="TH SarabunPSK" pitchFamily="34" charset="-34"/>
              <a:cs typeface="TH SarabunPSK" pitchFamily="34" charset="-34"/>
            </a:rPr>
            <a:t>   = </a:t>
          </a:r>
          <a:r>
            <a:rPr lang="th-TH" sz="2800" b="1" baseline="0">
              <a:latin typeface="TH SarabunPSK" pitchFamily="34" charset="-34"/>
              <a:cs typeface="TH SarabunPSK" pitchFamily="34" charset="-34"/>
            </a:rPr>
            <a:t>โครงการขอใช้เงินเหลือจ่าย</a:t>
          </a:r>
          <a:endParaRPr lang="th-TH" sz="28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37"/>
  <sheetViews>
    <sheetView view="pageBreakPreview" zoomScale="40" zoomScaleNormal="70" zoomScaleSheetLayoutView="40" workbookViewId="0">
      <pane ySplit="5" topLeftCell="A220" activePane="bottomLeft" state="frozen"/>
      <selection pane="bottomLeft" activeCell="M59" sqref="M59:M64"/>
    </sheetView>
  </sheetViews>
  <sheetFormatPr defaultColWidth="9" defaultRowHeight="22.5"/>
  <cols>
    <col min="1" max="1" width="7.28515625" style="10" bestFit="1" customWidth="1"/>
    <col min="2" max="2" width="77.42578125" style="9" customWidth="1"/>
    <col min="3" max="3" width="34.28515625" style="8" customWidth="1"/>
    <col min="4" max="4" width="34.140625" style="7" bestFit="1" customWidth="1"/>
    <col min="5" max="5" width="22.140625" style="162" customWidth="1"/>
    <col min="6" max="6" width="20.7109375" style="6" customWidth="1"/>
    <col min="7" max="7" width="21.28515625" style="5" customWidth="1"/>
    <col min="8" max="8" width="33.5703125" style="4" customWidth="1"/>
    <col min="9" max="9" width="31.28515625" style="4" customWidth="1"/>
    <col min="10" max="10" width="28.42578125" style="14" customWidth="1"/>
    <col min="11" max="11" width="33.5703125" style="7" customWidth="1"/>
    <col min="12" max="12" width="30.28515625" style="3" customWidth="1"/>
    <col min="13" max="13" width="31.28515625" style="3" customWidth="1"/>
    <col min="14" max="14" width="88" style="2" customWidth="1"/>
    <col min="15" max="16384" width="9" style="1"/>
  </cols>
  <sheetData>
    <row r="1" spans="1:14" ht="15.75" customHeight="1"/>
    <row r="2" spans="1:14" ht="70.5" customHeight="1">
      <c r="A2" s="524" t="s">
        <v>89</v>
      </c>
      <c r="B2" s="525"/>
      <c r="C2" s="525"/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</row>
    <row r="3" spans="1:14" ht="70.5" customHeight="1">
      <c r="A3" s="357"/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</row>
    <row r="4" spans="1:14" s="164" customFormat="1" ht="32.25" customHeight="1">
      <c r="A4" s="526" t="s">
        <v>39</v>
      </c>
      <c r="B4" s="522" t="s">
        <v>38</v>
      </c>
      <c r="C4" s="526" t="s">
        <v>37</v>
      </c>
      <c r="D4" s="520" t="s">
        <v>36</v>
      </c>
      <c r="E4" s="527" t="s">
        <v>35</v>
      </c>
      <c r="F4" s="529" t="s">
        <v>34</v>
      </c>
      <c r="G4" s="529"/>
      <c r="H4" s="521" t="s">
        <v>33</v>
      </c>
      <c r="I4" s="530" t="s">
        <v>32</v>
      </c>
      <c r="J4" s="530"/>
      <c r="K4" s="530"/>
      <c r="L4" s="520" t="s">
        <v>31</v>
      </c>
      <c r="M4" s="520" t="s">
        <v>30</v>
      </c>
      <c r="N4" s="522" t="s">
        <v>29</v>
      </c>
    </row>
    <row r="5" spans="1:14" s="164" customFormat="1" ht="80.25" customHeight="1">
      <c r="A5" s="526"/>
      <c r="B5" s="522"/>
      <c r="C5" s="526"/>
      <c r="D5" s="520"/>
      <c r="E5" s="528"/>
      <c r="F5" s="165" t="s">
        <v>28</v>
      </c>
      <c r="G5" s="165" t="s">
        <v>27</v>
      </c>
      <c r="H5" s="521"/>
      <c r="I5" s="166" t="s">
        <v>26</v>
      </c>
      <c r="J5" s="355" t="s">
        <v>25</v>
      </c>
      <c r="K5" s="167" t="s">
        <v>24</v>
      </c>
      <c r="L5" s="521"/>
      <c r="M5" s="521"/>
      <c r="N5" s="522"/>
    </row>
    <row r="6" spans="1:14" s="265" customFormat="1" ht="61.5" customHeight="1">
      <c r="A6" s="222">
        <v>1</v>
      </c>
      <c r="B6" s="223" t="s">
        <v>40</v>
      </c>
      <c r="C6" s="412" t="s">
        <v>23</v>
      </c>
      <c r="D6" s="225"/>
      <c r="E6" s="324" t="s">
        <v>69</v>
      </c>
      <c r="F6" s="226"/>
      <c r="G6" s="227"/>
      <c r="H6" s="228"/>
      <c r="I6" s="228"/>
      <c r="J6" s="229"/>
      <c r="K6" s="230"/>
      <c r="L6" s="231"/>
      <c r="M6" s="231"/>
      <c r="N6" s="168" t="s">
        <v>238</v>
      </c>
    </row>
    <row r="7" spans="1:14" s="180" customFormat="1" ht="37.5" customHeight="1">
      <c r="A7" s="170"/>
      <c r="B7" s="171" t="s">
        <v>2</v>
      </c>
      <c r="C7" s="172"/>
      <c r="D7" s="173">
        <v>10000000</v>
      </c>
      <c r="E7" s="319"/>
      <c r="F7" s="174"/>
      <c r="G7" s="174"/>
      <c r="H7" s="406">
        <v>9895000</v>
      </c>
      <c r="I7" s="175">
        <v>9889211.4199999999</v>
      </c>
      <c r="J7" s="176">
        <v>100</v>
      </c>
      <c r="K7" s="175">
        <v>0</v>
      </c>
      <c r="L7" s="178">
        <v>110778.58</v>
      </c>
      <c r="M7" s="179"/>
      <c r="N7" s="450"/>
    </row>
    <row r="8" spans="1:14" s="205" customFormat="1" ht="76.5">
      <c r="A8" s="197">
        <v>2</v>
      </c>
      <c r="B8" s="359" t="s">
        <v>22</v>
      </c>
      <c r="C8" s="243" t="s">
        <v>21</v>
      </c>
      <c r="D8" s="407"/>
      <c r="E8" s="322" t="s">
        <v>96</v>
      </c>
      <c r="F8" s="199"/>
      <c r="G8" s="213"/>
      <c r="H8" s="200"/>
      <c r="I8" s="200"/>
      <c r="J8" s="201"/>
      <c r="K8" s="198"/>
      <c r="L8" s="203"/>
      <c r="M8" s="203"/>
      <c r="N8" s="339" t="s">
        <v>340</v>
      </c>
    </row>
    <row r="9" spans="1:14" s="205" customFormat="1" ht="38.25">
      <c r="A9" s="195"/>
      <c r="B9" s="196" t="s">
        <v>2</v>
      </c>
      <c r="C9" s="197"/>
      <c r="D9" s="198">
        <v>3600000</v>
      </c>
      <c r="E9" s="320"/>
      <c r="F9" s="199">
        <v>241865</v>
      </c>
      <c r="G9" s="213">
        <v>241895</v>
      </c>
      <c r="H9" s="200">
        <v>3550000</v>
      </c>
      <c r="I9" s="200"/>
      <c r="J9" s="201">
        <f>I9*100/D9</f>
        <v>0</v>
      </c>
      <c r="K9" s="198">
        <f>D9-I9-L9</f>
        <v>3550000</v>
      </c>
      <c r="L9" s="218">
        <v>50000</v>
      </c>
      <c r="M9" s="203"/>
      <c r="N9" s="192"/>
    </row>
    <row r="10" spans="1:14" s="347" customFormat="1" ht="252">
      <c r="A10" s="222">
        <v>3</v>
      </c>
      <c r="B10" s="168" t="s">
        <v>41</v>
      </c>
      <c r="C10" s="224" t="s">
        <v>21</v>
      </c>
      <c r="D10" s="269"/>
      <c r="E10" s="324" t="s">
        <v>99</v>
      </c>
      <c r="F10" s="226"/>
      <c r="G10" s="227"/>
      <c r="H10" s="228"/>
      <c r="I10" s="228"/>
      <c r="J10" s="229"/>
      <c r="K10" s="230"/>
      <c r="L10" s="231"/>
      <c r="M10" s="231"/>
      <c r="N10" s="452" t="s">
        <v>423</v>
      </c>
    </row>
    <row r="11" spans="1:14" s="205" customFormat="1" ht="38.25">
      <c r="A11" s="195"/>
      <c r="B11" s="196" t="s">
        <v>2</v>
      </c>
      <c r="C11" s="197"/>
      <c r="D11" s="198">
        <v>7000000</v>
      </c>
      <c r="E11" s="320"/>
      <c r="F11" s="199"/>
      <c r="G11" s="199"/>
      <c r="H11" s="200">
        <v>6998000</v>
      </c>
      <c r="I11" s="200"/>
      <c r="J11" s="201">
        <f>I11*100/D11</f>
        <v>0</v>
      </c>
      <c r="K11" s="198">
        <f>H11-I11</f>
        <v>6998000</v>
      </c>
      <c r="L11" s="202">
        <v>2000</v>
      </c>
      <c r="M11" s="203"/>
      <c r="N11" s="192"/>
    </row>
    <row r="12" spans="1:14" s="205" customFormat="1" ht="191.25">
      <c r="A12" s="195">
        <v>4</v>
      </c>
      <c r="B12" s="216" t="s">
        <v>224</v>
      </c>
      <c r="C12" s="243" t="s">
        <v>21</v>
      </c>
      <c r="D12" s="198"/>
      <c r="E12" s="322" t="s">
        <v>96</v>
      </c>
      <c r="F12" s="219"/>
      <c r="G12" s="199"/>
      <c r="H12" s="197"/>
      <c r="I12" s="220"/>
      <c r="J12" s="201"/>
      <c r="K12" s="198"/>
      <c r="L12" s="204"/>
      <c r="M12" s="204"/>
      <c r="N12" s="339" t="s">
        <v>299</v>
      </c>
    </row>
    <row r="13" spans="1:14" s="258" customFormat="1" ht="38.25">
      <c r="A13" s="259"/>
      <c r="B13" s="196" t="s">
        <v>2</v>
      </c>
      <c r="C13" s="283"/>
      <c r="D13" s="198">
        <v>602100</v>
      </c>
      <c r="E13" s="332"/>
      <c r="F13" s="289"/>
      <c r="G13" s="290"/>
      <c r="H13" s="283"/>
      <c r="I13" s="220">
        <v>205200</v>
      </c>
      <c r="J13" s="287">
        <f>I13*100/D13</f>
        <v>34.08071748878924</v>
      </c>
      <c r="K13" s="288">
        <f>D13-I13</f>
        <v>396900</v>
      </c>
      <c r="L13" s="284"/>
      <c r="M13" s="284"/>
      <c r="N13" s="181"/>
    </row>
    <row r="14" spans="1:14" s="383" customFormat="1" ht="114.75">
      <c r="A14" s="453">
        <v>5</v>
      </c>
      <c r="B14" s="223" t="s">
        <v>355</v>
      </c>
      <c r="C14" s="224" t="s">
        <v>138</v>
      </c>
      <c r="D14" s="225"/>
      <c r="E14" s="454" t="s">
        <v>233</v>
      </c>
      <c r="F14" s="455"/>
      <c r="G14" s="455"/>
      <c r="H14" s="456"/>
      <c r="I14" s="457"/>
      <c r="J14" s="229"/>
      <c r="K14" s="225"/>
      <c r="L14" s="458"/>
      <c r="M14" s="458"/>
      <c r="N14" s="452" t="s">
        <v>294</v>
      </c>
    </row>
    <row r="15" spans="1:14" s="367" customFormat="1" ht="38.25">
      <c r="A15" s="242"/>
      <c r="B15" s="361" t="s">
        <v>2</v>
      </c>
      <c r="C15" s="243"/>
      <c r="D15" s="249">
        <v>1500000</v>
      </c>
      <c r="E15" s="362"/>
      <c r="F15" s="363"/>
      <c r="G15" s="363"/>
      <c r="H15" s="364"/>
      <c r="I15" s="365"/>
      <c r="J15" s="201">
        <f t="shared" ref="J15" si="0">I15*100/D15</f>
        <v>0</v>
      </c>
      <c r="K15" s="249">
        <f>D15-I15</f>
        <v>1500000</v>
      </c>
      <c r="L15" s="366"/>
      <c r="M15" s="366"/>
      <c r="N15" s="396"/>
    </row>
    <row r="16" spans="1:14" s="459" customFormat="1" ht="306">
      <c r="A16" s="453">
        <v>6</v>
      </c>
      <c r="B16" s="223" t="s">
        <v>309</v>
      </c>
      <c r="C16" s="224" t="s">
        <v>138</v>
      </c>
      <c r="D16" s="225"/>
      <c r="E16" s="454" t="s">
        <v>310</v>
      </c>
      <c r="F16" s="455"/>
      <c r="G16" s="455"/>
      <c r="H16" s="456"/>
      <c r="I16" s="457"/>
      <c r="J16" s="229"/>
      <c r="K16" s="225"/>
      <c r="L16" s="458"/>
      <c r="M16" s="458"/>
      <c r="N16" s="209" t="s">
        <v>399</v>
      </c>
    </row>
    <row r="17" spans="1:14" s="367" customFormat="1" ht="38.25">
      <c r="A17" s="242"/>
      <c r="B17" s="361" t="s">
        <v>2</v>
      </c>
      <c r="C17" s="243"/>
      <c r="D17" s="249">
        <v>200000</v>
      </c>
      <c r="E17" s="362"/>
      <c r="F17" s="363"/>
      <c r="G17" s="363"/>
      <c r="H17" s="364"/>
      <c r="I17" s="365"/>
      <c r="J17" s="201">
        <f t="shared" ref="J17" si="1">I17*100/D17</f>
        <v>0</v>
      </c>
      <c r="K17" s="249">
        <f>D17-I17</f>
        <v>200000</v>
      </c>
      <c r="L17" s="366"/>
      <c r="M17" s="366"/>
      <c r="N17" s="396"/>
    </row>
    <row r="18" spans="1:14" s="205" customFormat="1" ht="114.75">
      <c r="A18" s="371">
        <v>7</v>
      </c>
      <c r="B18" s="378" t="s">
        <v>308</v>
      </c>
      <c r="C18" s="379" t="s">
        <v>127</v>
      </c>
      <c r="D18" s="380"/>
      <c r="E18" s="373" t="s">
        <v>397</v>
      </c>
      <c r="F18" s="381"/>
      <c r="G18" s="374"/>
      <c r="H18" s="382"/>
      <c r="I18" s="382"/>
      <c r="J18" s="375"/>
      <c r="K18" s="376"/>
      <c r="L18" s="377"/>
      <c r="M18" s="377"/>
      <c r="N18" s="403" t="s">
        <v>419</v>
      </c>
    </row>
    <row r="19" spans="1:14" s="264" customFormat="1" ht="38.25">
      <c r="A19" s="195"/>
      <c r="B19" s="196" t="s">
        <v>2</v>
      </c>
      <c r="C19" s="197"/>
      <c r="D19" s="198">
        <v>1000000</v>
      </c>
      <c r="E19" s="322"/>
      <c r="F19" s="199"/>
      <c r="G19" s="213"/>
      <c r="H19" s="200"/>
      <c r="I19" s="200"/>
      <c r="J19" s="201">
        <f>I19*100/D19</f>
        <v>0</v>
      </c>
      <c r="K19" s="198">
        <f>D19-I19</f>
        <v>1000000</v>
      </c>
      <c r="L19" s="203"/>
      <c r="M19" s="202"/>
      <c r="N19" s="181"/>
    </row>
    <row r="20" spans="1:14" s="205" customFormat="1" ht="76.5">
      <c r="A20" s="371">
        <v>8</v>
      </c>
      <c r="B20" s="378" t="s">
        <v>311</v>
      </c>
      <c r="C20" s="379" t="s">
        <v>127</v>
      </c>
      <c r="D20" s="380"/>
      <c r="E20" s="373" t="s">
        <v>398</v>
      </c>
      <c r="F20" s="381"/>
      <c r="G20" s="374"/>
      <c r="H20" s="382"/>
      <c r="I20" s="382"/>
      <c r="J20" s="375"/>
      <c r="K20" s="376"/>
      <c r="L20" s="377"/>
      <c r="M20" s="377"/>
      <c r="N20" s="403" t="s">
        <v>420</v>
      </c>
    </row>
    <row r="21" spans="1:14" s="264" customFormat="1" ht="38.25">
      <c r="A21" s="195"/>
      <c r="B21" s="196" t="s">
        <v>2</v>
      </c>
      <c r="C21" s="197"/>
      <c r="D21" s="198">
        <v>430000</v>
      </c>
      <c r="E21" s="322"/>
      <c r="F21" s="199"/>
      <c r="G21" s="213"/>
      <c r="H21" s="200"/>
      <c r="I21" s="200"/>
      <c r="J21" s="201">
        <f>I21*100/D21</f>
        <v>0</v>
      </c>
      <c r="K21" s="198">
        <f>D21-I21</f>
        <v>430000</v>
      </c>
      <c r="L21" s="203"/>
      <c r="M21" s="202"/>
      <c r="N21" s="181"/>
    </row>
    <row r="22" spans="1:14" s="265" customFormat="1" ht="153">
      <c r="A22" s="222">
        <v>9</v>
      </c>
      <c r="B22" s="168" t="s">
        <v>263</v>
      </c>
      <c r="C22" s="268" t="s">
        <v>42</v>
      </c>
      <c r="D22" s="368"/>
      <c r="E22" s="324" t="s">
        <v>104</v>
      </c>
      <c r="F22" s="238"/>
      <c r="G22" s="227"/>
      <c r="H22" s="239"/>
      <c r="I22" s="239"/>
      <c r="J22" s="229"/>
      <c r="K22" s="230"/>
      <c r="L22" s="231"/>
      <c r="M22" s="231"/>
      <c r="N22" s="397" t="s">
        <v>383</v>
      </c>
    </row>
    <row r="23" spans="1:14" s="205" customFormat="1" ht="38.25">
      <c r="A23" s="195"/>
      <c r="B23" s="196" t="s">
        <v>2</v>
      </c>
      <c r="C23" s="197"/>
      <c r="D23" s="198">
        <v>1703500</v>
      </c>
      <c r="E23" s="322"/>
      <c r="F23" s="199"/>
      <c r="G23" s="213"/>
      <c r="H23" s="200"/>
      <c r="I23" s="200"/>
      <c r="J23" s="201">
        <f>I23*100/D23</f>
        <v>0</v>
      </c>
      <c r="K23" s="198">
        <f>D23-I23</f>
        <v>1703500</v>
      </c>
      <c r="L23" s="203"/>
      <c r="M23" s="203"/>
      <c r="N23" s="192"/>
    </row>
    <row r="24" spans="1:14" s="265" customFormat="1" ht="114.75">
      <c r="A24" s="222">
        <v>10</v>
      </c>
      <c r="B24" s="168" t="s">
        <v>329</v>
      </c>
      <c r="C24" s="268" t="s">
        <v>42</v>
      </c>
      <c r="D24" s="368"/>
      <c r="E24" s="324" t="s">
        <v>400</v>
      </c>
      <c r="F24" s="238"/>
      <c r="G24" s="227"/>
      <c r="H24" s="239"/>
      <c r="I24" s="239"/>
      <c r="J24" s="229"/>
      <c r="K24" s="230"/>
      <c r="L24" s="231"/>
      <c r="M24" s="231"/>
      <c r="N24" s="397" t="s">
        <v>405</v>
      </c>
    </row>
    <row r="25" spans="1:14" s="205" customFormat="1" ht="38.25">
      <c r="A25" s="195"/>
      <c r="B25" s="196" t="s">
        <v>2</v>
      </c>
      <c r="C25" s="197"/>
      <c r="D25" s="198">
        <v>454545</v>
      </c>
      <c r="E25" s="322"/>
      <c r="F25" s="199"/>
      <c r="G25" s="213"/>
      <c r="H25" s="200"/>
      <c r="I25" s="200"/>
      <c r="J25" s="201">
        <f>I25*100/D25</f>
        <v>0</v>
      </c>
      <c r="K25" s="198">
        <f>D25-I25</f>
        <v>454545</v>
      </c>
      <c r="L25" s="203"/>
      <c r="M25" s="203"/>
      <c r="N25" s="192"/>
    </row>
    <row r="26" spans="1:14" s="265" customFormat="1" ht="114.75">
      <c r="A26" s="222">
        <v>11</v>
      </c>
      <c r="B26" s="168" t="s">
        <v>43</v>
      </c>
      <c r="C26" s="268" t="s">
        <v>115</v>
      </c>
      <c r="D26" s="368"/>
      <c r="E26" s="324" t="s">
        <v>70</v>
      </c>
      <c r="F26" s="238"/>
      <c r="G26" s="227"/>
      <c r="H26" s="239"/>
      <c r="I26" s="239"/>
      <c r="J26" s="229"/>
      <c r="K26" s="230"/>
      <c r="L26" s="231"/>
      <c r="M26" s="231"/>
      <c r="N26" s="339" t="s">
        <v>238</v>
      </c>
    </row>
    <row r="27" spans="1:14" s="205" customFormat="1" ht="38.25">
      <c r="A27" s="195"/>
      <c r="B27" s="196" t="s">
        <v>2</v>
      </c>
      <c r="C27" s="197"/>
      <c r="D27" s="198">
        <v>2500000</v>
      </c>
      <c r="E27" s="322"/>
      <c r="F27" s="199">
        <v>241785</v>
      </c>
      <c r="G27" s="199">
        <v>241875</v>
      </c>
      <c r="H27" s="200">
        <v>2399900</v>
      </c>
      <c r="I27" s="200">
        <f>1199950+1199950</f>
        <v>2399900</v>
      </c>
      <c r="J27" s="201">
        <f>I27*100/H27</f>
        <v>100</v>
      </c>
      <c r="K27" s="198">
        <f>D27-I27-L27</f>
        <v>0</v>
      </c>
      <c r="L27" s="202">
        <f>D27-H27</f>
        <v>100100</v>
      </c>
      <c r="M27" s="203"/>
      <c r="N27" s="192"/>
    </row>
    <row r="28" spans="1:14" s="205" customFormat="1" ht="76.5">
      <c r="A28" s="195">
        <v>12</v>
      </c>
      <c r="B28" s="369" t="s">
        <v>242</v>
      </c>
      <c r="C28" s="197" t="s">
        <v>44</v>
      </c>
      <c r="D28" s="370"/>
      <c r="E28" s="163" t="s">
        <v>105</v>
      </c>
      <c r="F28" s="199"/>
      <c r="G28" s="213"/>
      <c r="H28" s="200"/>
      <c r="I28" s="200"/>
      <c r="J28" s="201"/>
      <c r="K28" s="198"/>
      <c r="L28" s="203"/>
      <c r="M28" s="203"/>
      <c r="N28" s="339" t="s">
        <v>238</v>
      </c>
    </row>
    <row r="29" spans="1:14" s="205" customFormat="1" ht="38.25">
      <c r="A29" s="195"/>
      <c r="B29" s="196" t="s">
        <v>2</v>
      </c>
      <c r="C29" s="197"/>
      <c r="D29" s="198">
        <v>1240000</v>
      </c>
      <c r="E29" s="322"/>
      <c r="F29" s="199">
        <v>241765</v>
      </c>
      <c r="G29" s="199">
        <v>241885</v>
      </c>
      <c r="H29" s="200">
        <v>1190000</v>
      </c>
      <c r="I29" s="244"/>
      <c r="J29" s="248">
        <f>I29*100/D29</f>
        <v>0</v>
      </c>
      <c r="K29" s="249">
        <f>D29-I29-L29</f>
        <v>1190000</v>
      </c>
      <c r="L29" s="271">
        <f>D29-H29</f>
        <v>50000</v>
      </c>
      <c r="M29" s="203"/>
      <c r="N29" s="192"/>
    </row>
    <row r="30" spans="1:14" s="265" customFormat="1" ht="153">
      <c r="A30" s="222">
        <v>13</v>
      </c>
      <c r="B30" s="168" t="s">
        <v>341</v>
      </c>
      <c r="C30" s="268" t="s">
        <v>5</v>
      </c>
      <c r="D30" s="368"/>
      <c r="E30" s="324" t="s">
        <v>71</v>
      </c>
      <c r="F30" s="238"/>
      <c r="G30" s="227"/>
      <c r="H30" s="239"/>
      <c r="I30" s="239"/>
      <c r="J30" s="229"/>
      <c r="K30" s="230"/>
      <c r="L30" s="231"/>
      <c r="M30" s="231"/>
      <c r="N30" s="209"/>
    </row>
    <row r="31" spans="1:14" s="205" customFormat="1" ht="38.25">
      <c r="A31" s="195"/>
      <c r="B31" s="196" t="s">
        <v>1</v>
      </c>
      <c r="C31" s="197"/>
      <c r="D31" s="198">
        <v>12000000</v>
      </c>
      <c r="E31" s="322"/>
      <c r="F31" s="199">
        <v>22668</v>
      </c>
      <c r="G31" s="213">
        <v>22967</v>
      </c>
      <c r="H31" s="200">
        <v>11366709.189999999</v>
      </c>
      <c r="I31" s="200">
        <v>1705006.38</v>
      </c>
      <c r="J31" s="201">
        <f>I31*100/H31</f>
        <v>15.000000013196432</v>
      </c>
      <c r="K31" s="198">
        <f>H31-I31</f>
        <v>9661702.8099999987</v>
      </c>
      <c r="L31" s="202"/>
      <c r="M31" s="202">
        <f>D31-H31</f>
        <v>633290.81000000052</v>
      </c>
      <c r="N31" s="398"/>
    </row>
    <row r="32" spans="1:14" s="205" customFormat="1" ht="191.25">
      <c r="A32" s="195"/>
      <c r="B32" s="216" t="s">
        <v>330</v>
      </c>
      <c r="C32" s="197"/>
      <c r="D32" s="198"/>
      <c r="E32" s="322"/>
      <c r="F32" s="199"/>
      <c r="G32" s="213"/>
      <c r="H32" s="200"/>
      <c r="I32" s="200"/>
      <c r="J32" s="201"/>
      <c r="K32" s="198"/>
      <c r="L32" s="203"/>
      <c r="M32" s="203"/>
      <c r="N32" s="181" t="s">
        <v>298</v>
      </c>
    </row>
    <row r="33" spans="1:14" s="265" customFormat="1" ht="120.75" customHeight="1">
      <c r="A33" s="222">
        <v>14</v>
      </c>
      <c r="B33" s="223" t="s">
        <v>262</v>
      </c>
      <c r="C33" s="268" t="s">
        <v>5</v>
      </c>
      <c r="D33" s="225"/>
      <c r="E33" s="324" t="s">
        <v>71</v>
      </c>
      <c r="F33" s="238"/>
      <c r="G33" s="227"/>
      <c r="H33" s="239"/>
      <c r="I33" s="239"/>
      <c r="J33" s="229"/>
      <c r="K33" s="230"/>
      <c r="L33" s="231"/>
      <c r="M33" s="231"/>
      <c r="N33" s="398"/>
    </row>
    <row r="34" spans="1:14" s="205" customFormat="1" ht="38.25">
      <c r="A34" s="195"/>
      <c r="B34" s="196" t="s">
        <v>1</v>
      </c>
      <c r="C34" s="197"/>
      <c r="D34" s="198">
        <v>12000000</v>
      </c>
      <c r="E34" s="320"/>
      <c r="F34" s="199">
        <v>22668</v>
      </c>
      <c r="G34" s="199">
        <v>22967</v>
      </c>
      <c r="H34" s="200">
        <v>11186000</v>
      </c>
      <c r="I34" s="200">
        <v>1677900</v>
      </c>
      <c r="J34" s="201">
        <f>I34*100/H34</f>
        <v>15</v>
      </c>
      <c r="K34" s="198">
        <f>H34-I34</f>
        <v>9508100</v>
      </c>
      <c r="L34" s="218"/>
      <c r="M34" s="202">
        <f>D34-H34</f>
        <v>814000</v>
      </c>
      <c r="N34" s="398"/>
    </row>
    <row r="35" spans="1:14" s="205" customFormat="1" ht="191.25">
      <c r="A35" s="195"/>
      <c r="B35" s="408" t="s">
        <v>331</v>
      </c>
      <c r="C35" s="197"/>
      <c r="D35" s="198"/>
      <c r="E35" s="320"/>
      <c r="F35" s="199"/>
      <c r="G35" s="213"/>
      <c r="H35" s="200"/>
      <c r="I35" s="200"/>
      <c r="J35" s="201"/>
      <c r="K35" s="198"/>
      <c r="L35" s="218"/>
      <c r="M35" s="203"/>
      <c r="N35" s="181" t="s">
        <v>298</v>
      </c>
    </row>
    <row r="36" spans="1:14" s="265" customFormat="1" ht="114.75">
      <c r="A36" s="222">
        <v>15</v>
      </c>
      <c r="B36" s="168" t="s">
        <v>261</v>
      </c>
      <c r="C36" s="268" t="s">
        <v>5</v>
      </c>
      <c r="D36" s="368"/>
      <c r="E36" s="324" t="s">
        <v>71</v>
      </c>
      <c r="F36" s="238"/>
      <c r="G36" s="227"/>
      <c r="H36" s="239"/>
      <c r="I36" s="239"/>
      <c r="J36" s="229"/>
      <c r="K36" s="230"/>
      <c r="L36" s="231"/>
      <c r="M36" s="231"/>
      <c r="N36" s="209"/>
    </row>
    <row r="37" spans="1:14" s="205" customFormat="1" ht="38.25">
      <c r="A37" s="195"/>
      <c r="B37" s="196" t="s">
        <v>1</v>
      </c>
      <c r="C37" s="197"/>
      <c r="D37" s="198">
        <v>15000000</v>
      </c>
      <c r="E37" s="322"/>
      <c r="F37" s="199">
        <v>22671</v>
      </c>
      <c r="G37" s="199">
        <v>22970</v>
      </c>
      <c r="H37" s="200">
        <v>11890000</v>
      </c>
      <c r="I37" s="200">
        <v>1783500</v>
      </c>
      <c r="J37" s="201">
        <f>I37*100/H37</f>
        <v>15</v>
      </c>
      <c r="K37" s="198">
        <f>H37-I37</f>
        <v>10106500</v>
      </c>
      <c r="L37" s="203"/>
      <c r="M37" s="202">
        <f>D37-H37</f>
        <v>3110000</v>
      </c>
      <c r="N37" s="398"/>
    </row>
    <row r="38" spans="1:14" s="205" customFormat="1" ht="153">
      <c r="A38" s="195"/>
      <c r="B38" s="216" t="s">
        <v>266</v>
      </c>
      <c r="C38" s="197"/>
      <c r="D38" s="198"/>
      <c r="E38" s="322"/>
      <c r="F38" s="199"/>
      <c r="G38" s="213"/>
      <c r="H38" s="200"/>
      <c r="I38" s="200"/>
      <c r="J38" s="201"/>
      <c r="K38" s="198"/>
      <c r="L38" s="203"/>
      <c r="M38" s="203"/>
      <c r="N38" s="181" t="s">
        <v>298</v>
      </c>
    </row>
    <row r="39" spans="1:14" s="265" customFormat="1" ht="153">
      <c r="A39" s="222">
        <v>16</v>
      </c>
      <c r="B39" s="223" t="s">
        <v>296</v>
      </c>
      <c r="C39" s="268" t="s">
        <v>5</v>
      </c>
      <c r="D39" s="269"/>
      <c r="E39" s="324" t="s">
        <v>71</v>
      </c>
      <c r="F39" s="226"/>
      <c r="G39" s="227"/>
      <c r="H39" s="228"/>
      <c r="I39" s="228"/>
      <c r="J39" s="229"/>
      <c r="K39" s="230"/>
      <c r="L39" s="231"/>
      <c r="M39" s="231"/>
      <c r="N39" s="209"/>
    </row>
    <row r="40" spans="1:14" s="180" customFormat="1" ht="38.25">
      <c r="A40" s="170"/>
      <c r="B40" s="171" t="s">
        <v>1</v>
      </c>
      <c r="C40" s="172"/>
      <c r="D40" s="177">
        <v>25000000</v>
      </c>
      <c r="E40" s="319"/>
      <c r="F40" s="335">
        <v>22669</v>
      </c>
      <c r="G40" s="174">
        <v>23028</v>
      </c>
      <c r="H40" s="337">
        <v>19990063.170000002</v>
      </c>
      <c r="I40" s="337">
        <v>2998509.48</v>
      </c>
      <c r="J40" s="176">
        <f>I40*100/H40</f>
        <v>15.000000022511184</v>
      </c>
      <c r="K40" s="177">
        <f>H40-I40</f>
        <v>16991553.690000001</v>
      </c>
      <c r="L40" s="338"/>
      <c r="M40" s="178">
        <f>D40-H40</f>
        <v>5009936.8299999982</v>
      </c>
      <c r="N40" s="399"/>
    </row>
    <row r="41" spans="1:14" s="232" customFormat="1" ht="191.25">
      <c r="A41" s="222"/>
      <c r="B41" s="223" t="s">
        <v>297</v>
      </c>
      <c r="C41" s="224"/>
      <c r="D41" s="225"/>
      <c r="E41" s="324"/>
      <c r="F41" s="226"/>
      <c r="G41" s="227"/>
      <c r="H41" s="228"/>
      <c r="I41" s="228"/>
      <c r="J41" s="229"/>
      <c r="K41" s="230"/>
      <c r="L41" s="231"/>
      <c r="M41" s="231"/>
      <c r="N41" s="181" t="s">
        <v>298</v>
      </c>
    </row>
    <row r="42" spans="1:14" s="205" customFormat="1" ht="191.25">
      <c r="A42" s="340">
        <v>17</v>
      </c>
      <c r="B42" s="346" t="s">
        <v>295</v>
      </c>
      <c r="C42" s="348" t="s">
        <v>5</v>
      </c>
      <c r="D42" s="349" t="s">
        <v>90</v>
      </c>
      <c r="E42" s="341" t="s">
        <v>102</v>
      </c>
      <c r="F42" s="350"/>
      <c r="G42" s="342"/>
      <c r="H42" s="351"/>
      <c r="I42" s="351"/>
      <c r="J42" s="343"/>
      <c r="K42" s="344"/>
      <c r="L42" s="345"/>
      <c r="M42" s="345"/>
      <c r="N42" s="352"/>
    </row>
    <row r="43" spans="1:14" s="205" customFormat="1" ht="38.25">
      <c r="A43" s="195"/>
      <c r="B43" s="196" t="s">
        <v>1</v>
      </c>
      <c r="C43" s="197"/>
      <c r="D43" s="198">
        <v>20000000</v>
      </c>
      <c r="E43" s="322"/>
      <c r="F43" s="199"/>
      <c r="G43" s="213"/>
      <c r="H43" s="200"/>
      <c r="I43" s="244"/>
      <c r="J43" s="248">
        <f>I43*100/D43</f>
        <v>0</v>
      </c>
      <c r="K43" s="249">
        <f>D43-I43</f>
        <v>20000000</v>
      </c>
      <c r="L43" s="221"/>
      <c r="M43" s="451">
        <v>3883839</v>
      </c>
      <c r="N43" s="217"/>
    </row>
    <row r="44" spans="1:14" s="234" customFormat="1" ht="191.25">
      <c r="A44" s="183"/>
      <c r="B44" s="236" t="s">
        <v>332</v>
      </c>
      <c r="C44" s="185"/>
      <c r="D44" s="186"/>
      <c r="E44" s="323"/>
      <c r="F44" s="187"/>
      <c r="G44" s="188"/>
      <c r="H44" s="189"/>
      <c r="I44" s="214"/>
      <c r="J44" s="215"/>
      <c r="K44" s="212"/>
      <c r="L44" s="235"/>
      <c r="M44" s="191"/>
      <c r="N44" s="217" t="s">
        <v>342</v>
      </c>
    </row>
    <row r="45" spans="1:14" s="205" customFormat="1" ht="153">
      <c r="A45" s="371">
        <v>18</v>
      </c>
      <c r="B45" s="460" t="s">
        <v>225</v>
      </c>
      <c r="C45" s="379" t="s">
        <v>5</v>
      </c>
      <c r="D45" s="376"/>
      <c r="E45" s="373"/>
      <c r="F45" s="381"/>
      <c r="G45" s="374"/>
      <c r="H45" s="382"/>
      <c r="I45" s="461"/>
      <c r="J45" s="384"/>
      <c r="K45" s="372"/>
      <c r="L45" s="462"/>
      <c r="M45" s="377"/>
      <c r="N45" s="403" t="s">
        <v>424</v>
      </c>
    </row>
    <row r="46" spans="1:14" s="205" customFormat="1" ht="37.5" customHeight="1">
      <c r="A46" s="195"/>
      <c r="B46" s="196" t="s">
        <v>1</v>
      </c>
      <c r="C46" s="197"/>
      <c r="D46" s="198">
        <v>5250000</v>
      </c>
      <c r="E46" s="322"/>
      <c r="F46" s="199"/>
      <c r="G46" s="213"/>
      <c r="H46" s="200"/>
      <c r="I46" s="244"/>
      <c r="J46" s="248">
        <f>I46*100/D46</f>
        <v>0</v>
      </c>
      <c r="K46" s="249">
        <f>D46-I46</f>
        <v>5250000</v>
      </c>
      <c r="L46" s="221"/>
      <c r="M46" s="203"/>
      <c r="N46" s="339"/>
    </row>
    <row r="47" spans="1:14" s="193" customFormat="1" ht="153">
      <c r="A47" s="183"/>
      <c r="B47" s="236" t="s">
        <v>267</v>
      </c>
      <c r="C47" s="185"/>
      <c r="D47" s="186"/>
      <c r="E47" s="323"/>
      <c r="F47" s="187"/>
      <c r="G47" s="188"/>
      <c r="H47" s="189"/>
      <c r="I47" s="214"/>
      <c r="J47" s="215"/>
      <c r="K47" s="212"/>
      <c r="L47" s="235"/>
      <c r="M47" s="191"/>
    </row>
    <row r="48" spans="1:14" s="205" customFormat="1" ht="114.75">
      <c r="A48" s="371">
        <v>19</v>
      </c>
      <c r="B48" s="378" t="s">
        <v>344</v>
      </c>
      <c r="C48" s="379" t="s">
        <v>5</v>
      </c>
      <c r="D48" s="380"/>
      <c r="E48" s="373" t="s">
        <v>407</v>
      </c>
      <c r="F48" s="381"/>
      <c r="G48" s="374"/>
      <c r="H48" s="382"/>
      <c r="I48" s="382"/>
      <c r="J48" s="375"/>
      <c r="K48" s="376"/>
      <c r="L48" s="377"/>
      <c r="M48" s="377"/>
      <c r="N48" s="403" t="s">
        <v>425</v>
      </c>
    </row>
    <row r="49" spans="1:14" s="264" customFormat="1" ht="38.25">
      <c r="A49" s="195"/>
      <c r="B49" s="196" t="s">
        <v>1</v>
      </c>
      <c r="C49" s="197"/>
      <c r="D49" s="198">
        <v>12000000</v>
      </c>
      <c r="E49" s="322"/>
      <c r="F49" s="199"/>
      <c r="G49" s="213"/>
      <c r="H49" s="200"/>
      <c r="I49" s="200"/>
      <c r="J49" s="201">
        <f>I49*100/D49</f>
        <v>0</v>
      </c>
      <c r="K49" s="198">
        <f>D49-I49</f>
        <v>12000000</v>
      </c>
      <c r="L49" s="203"/>
      <c r="M49" s="202"/>
      <c r="N49" s="181"/>
    </row>
    <row r="50" spans="1:14" s="264" customFormat="1" ht="191.25">
      <c r="A50" s="195"/>
      <c r="B50" s="216" t="s">
        <v>333</v>
      </c>
      <c r="C50" s="197"/>
      <c r="D50" s="198"/>
      <c r="E50" s="322"/>
      <c r="F50" s="199"/>
      <c r="G50" s="213"/>
      <c r="H50" s="200"/>
      <c r="I50" s="200"/>
      <c r="J50" s="201"/>
      <c r="K50" s="198"/>
      <c r="L50" s="203"/>
      <c r="M50" s="202"/>
      <c r="N50" s="181"/>
    </row>
    <row r="51" spans="1:14" s="205" customFormat="1" ht="165.75" customHeight="1">
      <c r="A51" s="222">
        <v>20</v>
      </c>
      <c r="B51" s="168" t="s">
        <v>343</v>
      </c>
      <c r="C51" s="268" t="s">
        <v>237</v>
      </c>
      <c r="D51" s="368"/>
      <c r="E51" s="324" t="s">
        <v>91</v>
      </c>
      <c r="F51" s="238"/>
      <c r="G51" s="227"/>
      <c r="H51" s="239"/>
      <c r="I51" s="239"/>
      <c r="J51" s="229"/>
      <c r="K51" s="230"/>
      <c r="L51" s="231"/>
      <c r="M51" s="231"/>
      <c r="N51" s="397" t="s">
        <v>421</v>
      </c>
    </row>
    <row r="52" spans="1:14" s="194" customFormat="1" ht="38.25">
      <c r="A52" s="195"/>
      <c r="B52" s="196" t="s">
        <v>2</v>
      </c>
      <c r="C52" s="197"/>
      <c r="D52" s="198">
        <v>2000000</v>
      </c>
      <c r="E52" s="322" t="s">
        <v>48</v>
      </c>
      <c r="F52" s="199"/>
      <c r="G52" s="213"/>
      <c r="H52" s="200"/>
      <c r="I52" s="200">
        <v>1715200</v>
      </c>
      <c r="J52" s="201">
        <f>I52*100/D52</f>
        <v>85.76</v>
      </c>
      <c r="K52" s="198">
        <f>D52-I52</f>
        <v>284800</v>
      </c>
      <c r="L52" s="221"/>
      <c r="M52" s="203"/>
      <c r="N52" s="233"/>
    </row>
    <row r="53" spans="1:14" s="265" customFormat="1" ht="114.75">
      <c r="A53" s="222">
        <v>21</v>
      </c>
      <c r="B53" s="223" t="s">
        <v>260</v>
      </c>
      <c r="C53" s="412" t="s">
        <v>46</v>
      </c>
      <c r="D53" s="225"/>
      <c r="E53" s="324" t="s">
        <v>72</v>
      </c>
      <c r="F53" s="409"/>
      <c r="G53" s="226"/>
      <c r="H53" s="225"/>
      <c r="I53" s="228"/>
      <c r="J53" s="410"/>
      <c r="K53" s="411"/>
      <c r="L53" s="225"/>
      <c r="M53" s="224"/>
      <c r="N53" s="209" t="s">
        <v>372</v>
      </c>
    </row>
    <row r="54" spans="1:14" s="194" customFormat="1" ht="38.25">
      <c r="A54" s="222"/>
      <c r="B54" s="237" t="s">
        <v>2</v>
      </c>
      <c r="C54" s="449">
        <v>2301600</v>
      </c>
      <c r="D54" s="230">
        <v>5031950</v>
      </c>
      <c r="E54" s="325"/>
      <c r="F54" s="238"/>
      <c r="G54" s="238"/>
      <c r="H54" s="239"/>
      <c r="I54" s="239">
        <v>4312850</v>
      </c>
      <c r="J54" s="229">
        <f>I54*100/D54</f>
        <v>85.70931746142152</v>
      </c>
      <c r="K54" s="230">
        <f>D54-I54</f>
        <v>719100</v>
      </c>
      <c r="L54" s="240"/>
      <c r="M54" s="231"/>
      <c r="N54" s="233"/>
    </row>
    <row r="55" spans="1:14" s="265" customFormat="1" ht="153">
      <c r="A55" s="222">
        <v>22</v>
      </c>
      <c r="B55" s="168" t="s">
        <v>345</v>
      </c>
      <c r="C55" s="224" t="s">
        <v>47</v>
      </c>
      <c r="D55" s="269">
        <f>D56+D57</f>
        <v>35805550</v>
      </c>
      <c r="E55" s="324" t="s">
        <v>409</v>
      </c>
      <c r="F55" s="226"/>
      <c r="G55" s="227"/>
      <c r="H55" s="228"/>
      <c r="I55" s="228">
        <f>I56+I57</f>
        <v>1464700</v>
      </c>
      <c r="J55" s="229">
        <f>I55*100/D55</f>
        <v>4.0907066083330657</v>
      </c>
      <c r="K55" s="230">
        <f>D55-I55</f>
        <v>34340850</v>
      </c>
      <c r="L55" s="240"/>
      <c r="M55" s="231"/>
      <c r="N55" s="209" t="s">
        <v>373</v>
      </c>
    </row>
    <row r="56" spans="1:14" s="169" customFormat="1" ht="38.25">
      <c r="A56" s="242"/>
      <c r="B56" s="196" t="s">
        <v>2</v>
      </c>
      <c r="C56" s="243"/>
      <c r="D56" s="244">
        <v>1468050</v>
      </c>
      <c r="E56" s="326"/>
      <c r="F56" s="245"/>
      <c r="G56" s="246"/>
      <c r="H56" s="247"/>
      <c r="I56" s="247">
        <v>1464700</v>
      </c>
      <c r="J56" s="248">
        <f>I56*100/D56</f>
        <v>99.771806137393142</v>
      </c>
      <c r="K56" s="249">
        <f>D56-I56</f>
        <v>3350</v>
      </c>
      <c r="L56" s="202"/>
      <c r="M56" s="203"/>
      <c r="N56" s="209"/>
    </row>
    <row r="57" spans="1:14" s="169" customFormat="1" ht="38.25">
      <c r="A57" s="242"/>
      <c r="B57" s="196" t="s">
        <v>1</v>
      </c>
      <c r="C57" s="243"/>
      <c r="D57" s="249">
        <v>34337500</v>
      </c>
      <c r="E57" s="327"/>
      <c r="F57" s="250"/>
      <c r="G57" s="249"/>
      <c r="H57" s="244"/>
      <c r="I57" s="244">
        <f>I59+I60+I61+I62+I63</f>
        <v>0</v>
      </c>
      <c r="J57" s="248">
        <f>I57*100/D57</f>
        <v>0</v>
      </c>
      <c r="K57" s="249">
        <f>D57-I57</f>
        <v>34337500</v>
      </c>
      <c r="L57" s="203"/>
      <c r="M57" s="221"/>
      <c r="N57" s="400"/>
    </row>
    <row r="58" spans="1:14" s="169" customFormat="1" ht="38.25">
      <c r="A58" s="242"/>
      <c r="B58" s="236" t="s">
        <v>67</v>
      </c>
      <c r="C58" s="243"/>
      <c r="D58" s="249"/>
      <c r="E58" s="327"/>
      <c r="F58" s="250"/>
      <c r="G58" s="249"/>
      <c r="H58" s="244"/>
      <c r="I58" s="244"/>
      <c r="J58" s="248"/>
      <c r="K58" s="249"/>
      <c r="L58" s="203"/>
      <c r="M58" s="203"/>
      <c r="N58" s="400"/>
    </row>
    <row r="59" spans="1:14" s="413" customFormat="1" ht="38.25">
      <c r="A59" s="210"/>
      <c r="B59" s="236" t="s">
        <v>374</v>
      </c>
      <c r="C59" s="211"/>
      <c r="D59" s="212">
        <v>4612500</v>
      </c>
      <c r="E59" s="330"/>
      <c r="F59" s="262">
        <v>241863</v>
      </c>
      <c r="G59" s="262">
        <v>241953</v>
      </c>
      <c r="H59" s="214">
        <v>2750000</v>
      </c>
      <c r="I59" s="214"/>
      <c r="J59" s="215">
        <f>I59*100/D59</f>
        <v>0</v>
      </c>
      <c r="K59" s="212">
        <f>D59-I59</f>
        <v>4612500</v>
      </c>
      <c r="L59" s="191"/>
      <c r="M59" s="263">
        <f>D59-H59</f>
        <v>1862500</v>
      </c>
      <c r="N59" s="400"/>
    </row>
    <row r="60" spans="1:14" s="413" customFormat="1" ht="38.25">
      <c r="A60" s="255"/>
      <c r="B60" s="236" t="s">
        <v>375</v>
      </c>
      <c r="C60" s="256"/>
      <c r="D60" s="212">
        <v>3587500</v>
      </c>
      <c r="E60" s="329"/>
      <c r="F60" s="262">
        <v>241863</v>
      </c>
      <c r="G60" s="262">
        <v>241953</v>
      </c>
      <c r="H60" s="214">
        <v>2019250</v>
      </c>
      <c r="I60" s="214"/>
      <c r="J60" s="215">
        <f>I60*100/D60</f>
        <v>0</v>
      </c>
      <c r="K60" s="212">
        <f>D60-I60</f>
        <v>3587500</v>
      </c>
      <c r="L60" s="257"/>
      <c r="M60" s="263">
        <f t="shared" ref="M60:M63" si="2">D60-H60</f>
        <v>1568250</v>
      </c>
      <c r="N60" s="401"/>
    </row>
    <row r="61" spans="1:14" s="413" customFormat="1" ht="38.25">
      <c r="A61" s="255"/>
      <c r="B61" s="236" t="s">
        <v>376</v>
      </c>
      <c r="C61" s="256"/>
      <c r="D61" s="212">
        <v>6765000</v>
      </c>
      <c r="E61" s="329"/>
      <c r="F61" s="262">
        <v>241863</v>
      </c>
      <c r="G61" s="262">
        <v>241953</v>
      </c>
      <c r="H61" s="214">
        <v>5832250</v>
      </c>
      <c r="I61" s="214"/>
      <c r="J61" s="215">
        <f>I61*100/D61</f>
        <v>0</v>
      </c>
      <c r="K61" s="212">
        <f>D61-I61</f>
        <v>6765000</v>
      </c>
      <c r="L61" s="257"/>
      <c r="M61" s="263">
        <f t="shared" si="2"/>
        <v>932750</v>
      </c>
      <c r="N61" s="401"/>
    </row>
    <row r="62" spans="1:14" s="414" customFormat="1" ht="38.25">
      <c r="A62" s="255"/>
      <c r="B62" s="236" t="s">
        <v>377</v>
      </c>
      <c r="C62" s="256"/>
      <c r="D62" s="212">
        <v>9717000</v>
      </c>
      <c r="E62" s="329"/>
      <c r="F62" s="262">
        <v>241863</v>
      </c>
      <c r="G62" s="262">
        <v>241953</v>
      </c>
      <c r="H62" s="214">
        <v>8917500</v>
      </c>
      <c r="I62" s="214"/>
      <c r="J62" s="215">
        <f>I62*100/D62</f>
        <v>0</v>
      </c>
      <c r="K62" s="212">
        <f>D62-I62</f>
        <v>9717000</v>
      </c>
      <c r="L62" s="257"/>
      <c r="M62" s="263">
        <f t="shared" si="2"/>
        <v>799500</v>
      </c>
      <c r="N62" s="401"/>
    </row>
    <row r="63" spans="1:14" s="234" customFormat="1" ht="38.25">
      <c r="A63" s="255"/>
      <c r="B63" s="236" t="s">
        <v>378</v>
      </c>
      <c r="C63" s="256"/>
      <c r="D63" s="212">
        <v>9655500</v>
      </c>
      <c r="E63" s="329"/>
      <c r="F63" s="262">
        <v>241863</v>
      </c>
      <c r="G63" s="262">
        <v>241953</v>
      </c>
      <c r="H63" s="214">
        <v>4243000</v>
      </c>
      <c r="I63" s="214"/>
      <c r="J63" s="215">
        <f>I63*100/D63</f>
        <v>0</v>
      </c>
      <c r="K63" s="212">
        <f>D63-I63</f>
        <v>9655500</v>
      </c>
      <c r="L63" s="257"/>
      <c r="M63" s="263">
        <f t="shared" si="2"/>
        <v>5412500</v>
      </c>
      <c r="N63" s="401"/>
    </row>
    <row r="64" spans="1:14" s="205" customFormat="1" ht="153">
      <c r="A64" s="463">
        <v>23</v>
      </c>
      <c r="B64" s="416" t="s">
        <v>301</v>
      </c>
      <c r="C64" s="224" t="s">
        <v>47</v>
      </c>
      <c r="D64" s="225"/>
      <c r="E64" s="324" t="s">
        <v>221</v>
      </c>
      <c r="F64" s="463"/>
      <c r="G64" s="464"/>
      <c r="H64" s="465"/>
      <c r="I64" s="269"/>
      <c r="J64" s="270"/>
      <c r="K64" s="225"/>
      <c r="L64" s="464"/>
      <c r="M64" s="464"/>
      <c r="N64" s="209" t="s">
        <v>384</v>
      </c>
    </row>
    <row r="65" spans="1:14" s="194" customFormat="1" ht="38.25">
      <c r="A65" s="251"/>
      <c r="B65" s="196" t="s">
        <v>2</v>
      </c>
      <c r="C65" s="252"/>
      <c r="D65" s="249">
        <v>997395</v>
      </c>
      <c r="E65" s="328"/>
      <c r="F65" s="251"/>
      <c r="G65" s="253"/>
      <c r="H65" s="254"/>
      <c r="I65" s="244"/>
      <c r="J65" s="248">
        <f>I65*100/D65</f>
        <v>0</v>
      </c>
      <c r="K65" s="249">
        <f>D65-I65</f>
        <v>997395</v>
      </c>
      <c r="L65" s="253"/>
      <c r="M65" s="253"/>
      <c r="N65" s="241"/>
    </row>
    <row r="66" spans="1:14" s="205" customFormat="1" ht="114.75">
      <c r="A66" s="371">
        <v>24</v>
      </c>
      <c r="B66" s="378" t="s">
        <v>318</v>
      </c>
      <c r="C66" s="379" t="s">
        <v>47</v>
      </c>
      <c r="D66" s="380"/>
      <c r="E66" s="373" t="s">
        <v>410</v>
      </c>
      <c r="F66" s="381"/>
      <c r="G66" s="374"/>
      <c r="H66" s="382"/>
      <c r="I66" s="382"/>
      <c r="J66" s="375"/>
      <c r="K66" s="376"/>
      <c r="L66" s="377"/>
      <c r="M66" s="377"/>
      <c r="N66" s="403" t="s">
        <v>426</v>
      </c>
    </row>
    <row r="67" spans="1:14" s="264" customFormat="1" ht="38.25">
      <c r="A67" s="195"/>
      <c r="B67" s="196" t="s">
        <v>1</v>
      </c>
      <c r="C67" s="197"/>
      <c r="D67" s="198">
        <v>2064500</v>
      </c>
      <c r="E67" s="322"/>
      <c r="F67" s="199"/>
      <c r="G67" s="213"/>
      <c r="H67" s="200"/>
      <c r="I67" s="200"/>
      <c r="J67" s="201">
        <f>I67*100/D67</f>
        <v>0</v>
      </c>
      <c r="K67" s="198">
        <f>D67-I67</f>
        <v>2064500</v>
      </c>
      <c r="L67" s="203"/>
      <c r="M67" s="202"/>
      <c r="N67" s="181"/>
    </row>
    <row r="68" spans="1:14" s="264" customFormat="1" ht="38.25">
      <c r="A68" s="195"/>
      <c r="B68" s="216" t="s">
        <v>334</v>
      </c>
      <c r="C68" s="197"/>
      <c r="D68" s="198"/>
      <c r="E68" s="322"/>
      <c r="F68" s="199"/>
      <c r="G68" s="213"/>
      <c r="H68" s="200"/>
      <c r="I68" s="200"/>
      <c r="J68" s="201"/>
      <c r="K68" s="198"/>
      <c r="L68" s="203"/>
      <c r="M68" s="202"/>
      <c r="N68" s="181"/>
    </row>
    <row r="69" spans="1:14" s="264" customFormat="1" ht="76.5">
      <c r="A69" s="195"/>
      <c r="B69" s="236" t="s">
        <v>336</v>
      </c>
      <c r="C69" s="197"/>
      <c r="D69" s="198"/>
      <c r="E69" s="322"/>
      <c r="F69" s="199"/>
      <c r="G69" s="213"/>
      <c r="H69" s="200"/>
      <c r="I69" s="200"/>
      <c r="J69" s="201"/>
      <c r="K69" s="198"/>
      <c r="L69" s="203"/>
      <c r="M69" s="202"/>
      <c r="N69" s="181"/>
    </row>
    <row r="70" spans="1:14" s="264" customFormat="1" ht="76.5">
      <c r="A70" s="195"/>
      <c r="B70" s="236" t="s">
        <v>335</v>
      </c>
      <c r="C70" s="197"/>
      <c r="D70" s="198"/>
      <c r="E70" s="322"/>
      <c r="F70" s="199"/>
      <c r="G70" s="213"/>
      <c r="H70" s="200"/>
      <c r="I70" s="200"/>
      <c r="J70" s="201"/>
      <c r="K70" s="198"/>
      <c r="L70" s="203"/>
      <c r="M70" s="202"/>
      <c r="N70" s="181"/>
    </row>
    <row r="71" spans="1:14" s="205" customFormat="1" ht="38.25">
      <c r="A71" s="259"/>
      <c r="B71" s="236" t="s">
        <v>337</v>
      </c>
      <c r="C71" s="283"/>
      <c r="D71" s="198"/>
      <c r="E71" s="332"/>
      <c r="F71" s="289"/>
      <c r="G71" s="290"/>
      <c r="H71" s="291"/>
      <c r="I71" s="220"/>
      <c r="J71" s="292"/>
      <c r="K71" s="288"/>
      <c r="L71" s="284"/>
      <c r="M71" s="293"/>
      <c r="N71" s="181"/>
    </row>
    <row r="72" spans="1:14" s="205" customFormat="1" ht="114.75">
      <c r="A72" s="259"/>
      <c r="B72" s="236" t="s">
        <v>338</v>
      </c>
      <c r="C72" s="283"/>
      <c r="D72" s="198"/>
      <c r="E72" s="332"/>
      <c r="F72" s="289"/>
      <c r="G72" s="290"/>
      <c r="H72" s="291"/>
      <c r="I72" s="220"/>
      <c r="J72" s="292"/>
      <c r="K72" s="288"/>
      <c r="L72" s="284"/>
      <c r="M72" s="293"/>
      <c r="N72" s="181"/>
    </row>
    <row r="73" spans="1:14" s="205" customFormat="1" ht="114.75">
      <c r="A73" s="463">
        <v>25</v>
      </c>
      <c r="B73" s="416" t="s">
        <v>259</v>
      </c>
      <c r="C73" s="466" t="s">
        <v>192</v>
      </c>
      <c r="D73" s="225"/>
      <c r="E73" s="324" t="s">
        <v>207</v>
      </c>
      <c r="F73" s="463"/>
      <c r="G73" s="464"/>
      <c r="H73" s="465"/>
      <c r="I73" s="269"/>
      <c r="J73" s="270"/>
      <c r="K73" s="225"/>
      <c r="L73" s="464"/>
      <c r="M73" s="464"/>
      <c r="N73" s="209" t="s">
        <v>382</v>
      </c>
    </row>
    <row r="74" spans="1:14" s="205" customFormat="1" ht="38.25">
      <c r="A74" s="251"/>
      <c r="B74" s="196" t="s">
        <v>1</v>
      </c>
      <c r="C74" s="252"/>
      <c r="D74" s="249">
        <v>2500000</v>
      </c>
      <c r="E74" s="328"/>
      <c r="F74" s="251"/>
      <c r="G74" s="253"/>
      <c r="H74" s="254"/>
      <c r="I74" s="244"/>
      <c r="J74" s="248">
        <f>I74*100/D74</f>
        <v>0</v>
      </c>
      <c r="K74" s="249">
        <f>D74-I74</f>
        <v>2500000</v>
      </c>
      <c r="L74" s="253"/>
      <c r="M74" s="253"/>
      <c r="N74" s="204"/>
    </row>
    <row r="75" spans="1:14" s="205" customFormat="1" ht="191.25">
      <c r="A75" s="222">
        <v>26</v>
      </c>
      <c r="B75" s="168" t="s">
        <v>228</v>
      </c>
      <c r="C75" s="268" t="s">
        <v>20</v>
      </c>
      <c r="D75" s="368"/>
      <c r="E75" s="324" t="s">
        <v>103</v>
      </c>
      <c r="F75" s="238"/>
      <c r="G75" s="227"/>
      <c r="H75" s="239"/>
      <c r="I75" s="239"/>
      <c r="J75" s="229"/>
      <c r="K75" s="230"/>
      <c r="L75" s="231"/>
      <c r="M75" s="231"/>
      <c r="N75" s="209" t="s">
        <v>379</v>
      </c>
    </row>
    <row r="76" spans="1:14" s="205" customFormat="1" ht="38.25">
      <c r="A76" s="195"/>
      <c r="B76" s="196" t="s">
        <v>2</v>
      </c>
      <c r="C76" s="197"/>
      <c r="D76" s="198">
        <v>2000000</v>
      </c>
      <c r="E76" s="322"/>
      <c r="F76" s="199"/>
      <c r="G76" s="213"/>
      <c r="H76" s="200"/>
      <c r="I76" s="200"/>
      <c r="J76" s="201">
        <f>I76*100/D76</f>
        <v>0</v>
      </c>
      <c r="K76" s="198">
        <f>D76-I76</f>
        <v>2000000</v>
      </c>
      <c r="L76" s="221"/>
      <c r="M76" s="203"/>
      <c r="N76" s="192"/>
    </row>
    <row r="77" spans="1:14" s="205" customFormat="1" ht="114.75">
      <c r="A77" s="371">
        <v>27</v>
      </c>
      <c r="B77" s="378" t="s">
        <v>319</v>
      </c>
      <c r="C77" s="379" t="s">
        <v>20</v>
      </c>
      <c r="D77" s="380"/>
      <c r="E77" s="373" t="s">
        <v>417</v>
      </c>
      <c r="F77" s="381"/>
      <c r="G77" s="374"/>
      <c r="H77" s="382"/>
      <c r="I77" s="382"/>
      <c r="J77" s="375"/>
      <c r="K77" s="376"/>
      <c r="L77" s="377"/>
      <c r="M77" s="377"/>
      <c r="N77" s="403" t="s">
        <v>418</v>
      </c>
    </row>
    <row r="78" spans="1:14" s="264" customFormat="1" ht="38.25">
      <c r="A78" s="195"/>
      <c r="B78" s="196" t="s">
        <v>2</v>
      </c>
      <c r="C78" s="197"/>
      <c r="D78" s="198">
        <v>930400</v>
      </c>
      <c r="E78" s="322"/>
      <c r="F78" s="199"/>
      <c r="G78" s="213"/>
      <c r="H78" s="200"/>
      <c r="I78" s="200"/>
      <c r="J78" s="201">
        <f>I78*100/D78</f>
        <v>0</v>
      </c>
      <c r="K78" s="198">
        <f>D78-I78</f>
        <v>930400</v>
      </c>
      <c r="L78" s="203"/>
      <c r="M78" s="202"/>
      <c r="N78" s="181"/>
    </row>
    <row r="79" spans="1:14" s="205" customFormat="1" ht="114.75">
      <c r="A79" s="222">
        <v>28</v>
      </c>
      <c r="B79" s="168" t="s">
        <v>258</v>
      </c>
      <c r="C79" s="422" t="s">
        <v>97</v>
      </c>
      <c r="D79" s="368"/>
      <c r="E79" s="324" t="s">
        <v>106</v>
      </c>
      <c r="F79" s="238"/>
      <c r="G79" s="227"/>
      <c r="H79" s="239"/>
      <c r="I79" s="239"/>
      <c r="J79" s="229"/>
      <c r="K79" s="230"/>
      <c r="L79" s="231"/>
      <c r="M79" s="231"/>
      <c r="N79" s="266"/>
    </row>
    <row r="80" spans="1:14" s="205" customFormat="1" ht="38.25">
      <c r="A80" s="195"/>
      <c r="B80" s="196" t="s">
        <v>1</v>
      </c>
      <c r="C80" s="197"/>
      <c r="D80" s="198">
        <v>30000000</v>
      </c>
      <c r="E80" s="322"/>
      <c r="F80" s="199"/>
      <c r="G80" s="213"/>
      <c r="H80" s="200"/>
      <c r="I80" s="200"/>
      <c r="J80" s="201">
        <f>I80*100/D80</f>
        <v>0</v>
      </c>
      <c r="K80" s="198">
        <f>D80-I80</f>
        <v>30000000</v>
      </c>
      <c r="L80" s="203"/>
      <c r="M80" s="451">
        <v>5400000</v>
      </c>
      <c r="N80" s="168"/>
    </row>
    <row r="81" spans="1:14" s="182" customFormat="1" ht="153">
      <c r="A81" s="183" t="s">
        <v>66</v>
      </c>
      <c r="B81" s="236" t="s">
        <v>282</v>
      </c>
      <c r="C81" s="185"/>
      <c r="D81" s="186"/>
      <c r="E81" s="323"/>
      <c r="F81" s="187"/>
      <c r="G81" s="188"/>
      <c r="H81" s="189"/>
      <c r="I81" s="189"/>
      <c r="J81" s="190"/>
      <c r="K81" s="186"/>
      <c r="L81" s="191"/>
      <c r="M81" s="191"/>
      <c r="N81" s="168" t="s">
        <v>300</v>
      </c>
    </row>
    <row r="82" spans="1:14" s="265" customFormat="1" ht="64.5">
      <c r="A82" s="415">
        <v>29</v>
      </c>
      <c r="B82" s="266" t="s">
        <v>18</v>
      </c>
      <c r="C82" s="268" t="s">
        <v>49</v>
      </c>
      <c r="D82" s="368"/>
      <c r="E82" s="324" t="s">
        <v>73</v>
      </c>
      <c r="F82" s="238"/>
      <c r="G82" s="227"/>
      <c r="H82" s="239"/>
      <c r="I82" s="239"/>
      <c r="J82" s="229"/>
      <c r="K82" s="230"/>
      <c r="L82" s="231"/>
      <c r="M82" s="231"/>
      <c r="N82" s="450" t="s">
        <v>238</v>
      </c>
    </row>
    <row r="83" spans="1:14" s="194" customFormat="1" ht="38.25">
      <c r="A83" s="195"/>
      <c r="B83" s="196" t="s">
        <v>2</v>
      </c>
      <c r="C83" s="197"/>
      <c r="D83" s="198">
        <v>3540000</v>
      </c>
      <c r="E83" s="322"/>
      <c r="F83" s="199">
        <v>22619</v>
      </c>
      <c r="G83" s="199">
        <v>22680</v>
      </c>
      <c r="H83" s="200">
        <v>3540000</v>
      </c>
      <c r="I83" s="200">
        <v>3540000</v>
      </c>
      <c r="J83" s="201">
        <f>I83*100/D83</f>
        <v>100</v>
      </c>
      <c r="K83" s="200" t="s">
        <v>130</v>
      </c>
      <c r="L83" s="203"/>
      <c r="M83" s="203"/>
      <c r="N83" s="233"/>
    </row>
    <row r="84" spans="1:14" s="205" customFormat="1" ht="114.75">
      <c r="A84" s="222">
        <v>30</v>
      </c>
      <c r="B84" s="168" t="s">
        <v>236</v>
      </c>
      <c r="C84" s="268" t="s">
        <v>49</v>
      </c>
      <c r="D84" s="368"/>
      <c r="E84" s="324" t="s">
        <v>107</v>
      </c>
      <c r="F84" s="238"/>
      <c r="G84" s="227"/>
      <c r="H84" s="239"/>
      <c r="I84" s="239"/>
      <c r="J84" s="229"/>
      <c r="K84" s="230"/>
      <c r="L84" s="231"/>
      <c r="M84" s="231"/>
      <c r="N84" s="209" t="s">
        <v>369</v>
      </c>
    </row>
    <row r="85" spans="1:14" s="205" customFormat="1" ht="38.25">
      <c r="A85" s="195"/>
      <c r="B85" s="196" t="s">
        <v>2</v>
      </c>
      <c r="C85" s="197"/>
      <c r="D85" s="198">
        <v>12000000</v>
      </c>
      <c r="E85" s="322"/>
      <c r="F85" s="199"/>
      <c r="G85" s="213"/>
      <c r="H85" s="200"/>
      <c r="I85" s="200"/>
      <c r="J85" s="201">
        <f>I85*100/D85</f>
        <v>0</v>
      </c>
      <c r="K85" s="198">
        <f>D85-I85</f>
        <v>12000000</v>
      </c>
      <c r="L85" s="423">
        <v>2400000</v>
      </c>
      <c r="M85" s="203"/>
      <c r="N85" s="204"/>
    </row>
    <row r="86" spans="1:14" s="205" customFormat="1" ht="64.5">
      <c r="A86" s="371">
        <v>31</v>
      </c>
      <c r="B86" s="378" t="s">
        <v>321</v>
      </c>
      <c r="C86" s="379" t="s">
        <v>49</v>
      </c>
      <c r="D86" s="380"/>
      <c r="E86" s="373" t="s">
        <v>401</v>
      </c>
      <c r="F86" s="381"/>
      <c r="G86" s="374"/>
      <c r="H86" s="382"/>
      <c r="I86" s="382"/>
      <c r="J86" s="375"/>
      <c r="K86" s="376"/>
      <c r="L86" s="377"/>
      <c r="M86" s="377"/>
      <c r="N86" s="403" t="s">
        <v>426</v>
      </c>
    </row>
    <row r="87" spans="1:14" s="264" customFormat="1" ht="38.25">
      <c r="A87" s="195"/>
      <c r="B87" s="196" t="s">
        <v>2</v>
      </c>
      <c r="C87" s="197"/>
      <c r="D87" s="198">
        <v>6000000</v>
      </c>
      <c r="E87" s="322"/>
      <c r="F87" s="199"/>
      <c r="G87" s="213"/>
      <c r="H87" s="200"/>
      <c r="I87" s="200"/>
      <c r="J87" s="201">
        <f>I87*100/D87</f>
        <v>0</v>
      </c>
      <c r="K87" s="198">
        <f>D87-I87</f>
        <v>6000000</v>
      </c>
      <c r="L87" s="203"/>
      <c r="M87" s="202"/>
      <c r="N87" s="181"/>
    </row>
    <row r="88" spans="1:14" s="267" customFormat="1" ht="114.75">
      <c r="A88" s="222">
        <v>32</v>
      </c>
      <c r="B88" s="416" t="s">
        <v>98</v>
      </c>
      <c r="C88" s="268" t="s">
        <v>50</v>
      </c>
      <c r="D88" s="230"/>
      <c r="E88" s="324" t="s">
        <v>74</v>
      </c>
      <c r="F88" s="226"/>
      <c r="G88" s="238"/>
      <c r="H88" s="268"/>
      <c r="I88" s="228"/>
      <c r="J88" s="229"/>
      <c r="K88" s="230"/>
      <c r="L88" s="241"/>
      <c r="M88" s="241"/>
      <c r="N88" s="168" t="s">
        <v>238</v>
      </c>
    </row>
    <row r="89" spans="1:14" s="169" customFormat="1" ht="38.25">
      <c r="A89" s="259"/>
      <c r="B89" s="196" t="s">
        <v>2</v>
      </c>
      <c r="C89" s="197"/>
      <c r="D89" s="198">
        <v>2500000</v>
      </c>
      <c r="E89" s="322"/>
      <c r="F89" s="219"/>
      <c r="G89" s="219"/>
      <c r="H89" s="198">
        <v>2477020</v>
      </c>
      <c r="I89" s="220">
        <v>2477020</v>
      </c>
      <c r="J89" s="201">
        <f>I89*100/I89</f>
        <v>100</v>
      </c>
      <c r="K89" s="198">
        <f>2500000-L89-I89</f>
        <v>0</v>
      </c>
      <c r="L89" s="260">
        <f>D89-H89</f>
        <v>22980</v>
      </c>
      <c r="M89" s="204"/>
      <c r="N89" s="233"/>
    </row>
    <row r="90" spans="1:14" s="417" customFormat="1" ht="76.5">
      <c r="A90" s="195">
        <v>33</v>
      </c>
      <c r="B90" s="360" t="s">
        <v>229</v>
      </c>
      <c r="C90" s="197" t="s">
        <v>50</v>
      </c>
      <c r="D90" s="370"/>
      <c r="E90" s="322" t="s">
        <v>74</v>
      </c>
      <c r="F90" s="199"/>
      <c r="G90" s="213"/>
      <c r="H90" s="200"/>
      <c r="I90" s="200"/>
      <c r="J90" s="201"/>
      <c r="K90" s="198"/>
      <c r="L90" s="203"/>
      <c r="M90" s="203"/>
      <c r="N90" s="339" t="s">
        <v>385</v>
      </c>
    </row>
    <row r="91" spans="1:14" s="169" customFormat="1" ht="38.25">
      <c r="A91" s="242"/>
      <c r="B91" s="272" t="s">
        <v>2</v>
      </c>
      <c r="C91" s="243"/>
      <c r="D91" s="249">
        <v>1279500</v>
      </c>
      <c r="E91" s="327"/>
      <c r="F91" s="250"/>
      <c r="G91" s="246"/>
      <c r="H91" s="244"/>
      <c r="I91" s="200">
        <v>687580</v>
      </c>
      <c r="J91" s="248">
        <f>I91*100/D91</f>
        <v>53.738178976162565</v>
      </c>
      <c r="K91" s="249">
        <f>D91-I91</f>
        <v>591920</v>
      </c>
      <c r="L91" s="203"/>
      <c r="M91" s="203"/>
      <c r="N91" s="233"/>
    </row>
    <row r="92" spans="1:14" s="205" customFormat="1" ht="127.5" customHeight="1">
      <c r="A92" s="195">
        <v>34</v>
      </c>
      <c r="B92" s="369" t="s">
        <v>257</v>
      </c>
      <c r="C92" s="197" t="s">
        <v>50</v>
      </c>
      <c r="D92" s="370"/>
      <c r="E92" s="322" t="s">
        <v>74</v>
      </c>
      <c r="F92" s="199"/>
      <c r="G92" s="213"/>
      <c r="H92" s="200"/>
      <c r="I92" s="200"/>
      <c r="J92" s="201"/>
      <c r="K92" s="198"/>
      <c r="L92" s="203"/>
      <c r="M92" s="203"/>
      <c r="N92" s="339" t="s">
        <v>386</v>
      </c>
    </row>
    <row r="93" spans="1:14" s="169" customFormat="1" ht="38.25">
      <c r="A93" s="195"/>
      <c r="B93" s="196" t="s">
        <v>2</v>
      </c>
      <c r="C93" s="197"/>
      <c r="D93" s="198">
        <v>425350</v>
      </c>
      <c r="E93" s="322"/>
      <c r="F93" s="199"/>
      <c r="G93" s="213"/>
      <c r="H93" s="200"/>
      <c r="I93" s="200"/>
      <c r="J93" s="201">
        <f>I93*100/D93</f>
        <v>0</v>
      </c>
      <c r="K93" s="198">
        <f>D93-I93</f>
        <v>425350</v>
      </c>
      <c r="L93" s="203"/>
      <c r="M93" s="203"/>
      <c r="N93" s="233"/>
    </row>
    <row r="94" spans="1:14" s="205" customFormat="1" ht="76.5">
      <c r="A94" s="195">
        <v>35</v>
      </c>
      <c r="B94" s="369" t="s">
        <v>19</v>
      </c>
      <c r="C94" s="197" t="s">
        <v>50</v>
      </c>
      <c r="D94" s="418"/>
      <c r="E94" s="322" t="s">
        <v>74</v>
      </c>
      <c r="F94" s="199"/>
      <c r="G94" s="213"/>
      <c r="H94" s="200"/>
      <c r="I94" s="200"/>
      <c r="J94" s="201"/>
      <c r="K94" s="198"/>
      <c r="L94" s="203"/>
      <c r="M94" s="203"/>
      <c r="N94" s="339" t="s">
        <v>387</v>
      </c>
    </row>
    <row r="95" spans="1:14" s="169" customFormat="1" ht="38.25">
      <c r="A95" s="195"/>
      <c r="B95" s="196" t="s">
        <v>2</v>
      </c>
      <c r="C95" s="197"/>
      <c r="D95" s="198">
        <v>352550</v>
      </c>
      <c r="E95" s="322"/>
      <c r="F95" s="199"/>
      <c r="G95" s="199"/>
      <c r="H95" s="200"/>
      <c r="I95" s="244">
        <v>16900</v>
      </c>
      <c r="J95" s="248">
        <f>I95*100/D95</f>
        <v>4.7936462913061977</v>
      </c>
      <c r="K95" s="249">
        <f>D95-I95</f>
        <v>335650</v>
      </c>
      <c r="L95" s="203"/>
      <c r="M95" s="202"/>
      <c r="N95" s="241"/>
    </row>
    <row r="96" spans="1:14" s="265" customFormat="1" ht="76.5">
      <c r="A96" s="222">
        <v>36</v>
      </c>
      <c r="B96" s="168" t="s">
        <v>222</v>
      </c>
      <c r="C96" s="268" t="s">
        <v>51</v>
      </c>
      <c r="D96" s="368"/>
      <c r="E96" s="324" t="s">
        <v>75</v>
      </c>
      <c r="F96" s="238"/>
      <c r="G96" s="227"/>
      <c r="H96" s="239"/>
      <c r="I96" s="239"/>
      <c r="J96" s="270"/>
      <c r="K96" s="230"/>
      <c r="L96" s="231"/>
      <c r="M96" s="231"/>
      <c r="N96" s="181" t="s">
        <v>238</v>
      </c>
    </row>
    <row r="97" spans="1:14" s="169" customFormat="1" ht="38.25">
      <c r="A97" s="195"/>
      <c r="B97" s="196" t="s">
        <v>2</v>
      </c>
      <c r="C97" s="197"/>
      <c r="D97" s="198">
        <v>2000000</v>
      </c>
      <c r="E97" s="322"/>
      <c r="F97" s="199">
        <v>22679</v>
      </c>
      <c r="G97" s="199">
        <v>22705</v>
      </c>
      <c r="H97" s="200">
        <v>1915000</v>
      </c>
      <c r="I97" s="244">
        <v>1915000</v>
      </c>
      <c r="J97" s="248">
        <f>I97*100/H97</f>
        <v>100</v>
      </c>
      <c r="K97" s="249">
        <f>H97-I97</f>
        <v>0</v>
      </c>
      <c r="L97" s="202">
        <f>D97-H97</f>
        <v>85000</v>
      </c>
      <c r="M97" s="203"/>
      <c r="N97" s="233"/>
    </row>
    <row r="98" spans="1:14" s="205" customFormat="1" ht="76.5">
      <c r="A98" s="222">
        <v>37</v>
      </c>
      <c r="B98" s="168" t="s">
        <v>239</v>
      </c>
      <c r="C98" s="268" t="s">
        <v>51</v>
      </c>
      <c r="D98" s="230">
        <v>900000</v>
      </c>
      <c r="E98" s="324" t="s">
        <v>416</v>
      </c>
      <c r="F98" s="238"/>
      <c r="G98" s="227"/>
      <c r="H98" s="239"/>
      <c r="I98" s="239">
        <f>I99+I100</f>
        <v>0</v>
      </c>
      <c r="J98" s="270">
        <f>I100*100/D98</f>
        <v>0</v>
      </c>
      <c r="K98" s="225">
        <f>D98-I100</f>
        <v>900000</v>
      </c>
      <c r="L98" s="231"/>
      <c r="M98" s="231"/>
      <c r="N98" s="209" t="s">
        <v>427</v>
      </c>
    </row>
    <row r="99" spans="1:14" s="205" customFormat="1" ht="38.25">
      <c r="A99" s="222"/>
      <c r="B99" s="237" t="s">
        <v>2</v>
      </c>
      <c r="C99" s="268"/>
      <c r="D99" s="368">
        <v>670000</v>
      </c>
      <c r="E99" s="324"/>
      <c r="F99" s="238"/>
      <c r="G99" s="227"/>
      <c r="H99" s="239"/>
      <c r="I99" s="269"/>
      <c r="J99" s="270">
        <f>I99*100/D99</f>
        <v>0</v>
      </c>
      <c r="K99" s="225">
        <f>D99-I99</f>
        <v>670000</v>
      </c>
      <c r="L99" s="231"/>
      <c r="M99" s="231"/>
      <c r="N99" s="402"/>
    </row>
    <row r="100" spans="1:14" s="264" customFormat="1" ht="38.25">
      <c r="A100" s="273"/>
      <c r="B100" s="196" t="s">
        <v>1</v>
      </c>
      <c r="C100" s="197"/>
      <c r="D100" s="370">
        <f>D101+D102</f>
        <v>230000</v>
      </c>
      <c r="E100" s="322"/>
      <c r="F100" s="199"/>
      <c r="G100" s="213"/>
      <c r="H100" s="200"/>
      <c r="I100" s="244"/>
      <c r="J100" s="248">
        <f>I100*100/D100</f>
        <v>0</v>
      </c>
      <c r="K100" s="249">
        <f>D100-I100</f>
        <v>230000</v>
      </c>
      <c r="L100" s="203"/>
      <c r="M100" s="203"/>
      <c r="N100" s="209"/>
    </row>
    <row r="101" spans="1:14" s="395" customFormat="1" ht="76.5" customHeight="1">
      <c r="A101" s="385"/>
      <c r="B101" s="386" t="s">
        <v>240</v>
      </c>
      <c r="C101" s="207"/>
      <c r="D101" s="387">
        <v>180000</v>
      </c>
      <c r="E101" s="321"/>
      <c r="F101" s="208"/>
      <c r="G101" s="388"/>
      <c r="H101" s="389"/>
      <c r="I101" s="390"/>
      <c r="J101" s="391">
        <f>I101*100/D101</f>
        <v>0</v>
      </c>
      <c r="K101" s="392">
        <f>D101-I101</f>
        <v>180000</v>
      </c>
      <c r="L101" s="393"/>
      <c r="M101" s="393"/>
      <c r="N101" s="394"/>
    </row>
    <row r="102" spans="1:14" s="182" customFormat="1" ht="38.25">
      <c r="A102" s="274"/>
      <c r="B102" s="236" t="s">
        <v>241</v>
      </c>
      <c r="C102" s="185"/>
      <c r="D102" s="186">
        <v>50000</v>
      </c>
      <c r="E102" s="323"/>
      <c r="F102" s="187"/>
      <c r="G102" s="188"/>
      <c r="H102" s="189"/>
      <c r="I102" s="214"/>
      <c r="J102" s="215">
        <f>I102*100/D102</f>
        <v>0</v>
      </c>
      <c r="K102" s="212">
        <f>D102-I102</f>
        <v>50000</v>
      </c>
      <c r="L102" s="191"/>
      <c r="M102" s="191"/>
      <c r="N102" s="209"/>
    </row>
    <row r="103" spans="1:14" s="205" customFormat="1" ht="76.5">
      <c r="A103" s="371">
        <v>38</v>
      </c>
      <c r="B103" s="378" t="s">
        <v>326</v>
      </c>
      <c r="C103" s="379" t="s">
        <v>317</v>
      </c>
      <c r="D103" s="380"/>
      <c r="E103" s="373"/>
      <c r="F103" s="381"/>
      <c r="G103" s="374"/>
      <c r="H103" s="382"/>
      <c r="I103" s="382"/>
      <c r="J103" s="375"/>
      <c r="K103" s="376"/>
      <c r="L103" s="377"/>
      <c r="M103" s="377"/>
      <c r="N103" s="403" t="s">
        <v>406</v>
      </c>
    </row>
    <row r="104" spans="1:14" s="264" customFormat="1" ht="38.25">
      <c r="A104" s="195"/>
      <c r="B104" s="196" t="s">
        <v>2</v>
      </c>
      <c r="C104" s="197"/>
      <c r="D104" s="198">
        <v>2300000</v>
      </c>
      <c r="E104" s="322"/>
      <c r="F104" s="199"/>
      <c r="G104" s="213"/>
      <c r="H104" s="200"/>
      <c r="I104" s="200"/>
      <c r="J104" s="201">
        <f>I104*100/D104</f>
        <v>0</v>
      </c>
      <c r="K104" s="198">
        <f>D104-I104</f>
        <v>2300000</v>
      </c>
      <c r="L104" s="203"/>
      <c r="M104" s="202"/>
      <c r="N104" s="181"/>
    </row>
    <row r="105" spans="1:14" s="265" customFormat="1" ht="153">
      <c r="A105" s="222">
        <v>39</v>
      </c>
      <c r="B105" s="168" t="s">
        <v>243</v>
      </c>
      <c r="C105" s="268" t="s">
        <v>52</v>
      </c>
      <c r="D105" s="368"/>
      <c r="E105" s="324" t="s">
        <v>76</v>
      </c>
      <c r="F105" s="238"/>
      <c r="G105" s="227"/>
      <c r="H105" s="239"/>
      <c r="I105" s="239"/>
      <c r="J105" s="229"/>
      <c r="K105" s="230"/>
      <c r="L105" s="231"/>
      <c r="M105" s="231"/>
      <c r="N105" s="181" t="s">
        <v>388</v>
      </c>
    </row>
    <row r="106" spans="1:14" s="169" customFormat="1" ht="38.25">
      <c r="A106" s="195"/>
      <c r="B106" s="196" t="s">
        <v>2</v>
      </c>
      <c r="C106" s="197"/>
      <c r="D106" s="198">
        <v>1413000</v>
      </c>
      <c r="E106" s="322"/>
      <c r="F106" s="199"/>
      <c r="G106" s="213"/>
      <c r="H106" s="200"/>
      <c r="I106" s="244">
        <v>815840</v>
      </c>
      <c r="J106" s="248">
        <f>I106*100/D106</f>
        <v>57.738145789101203</v>
      </c>
      <c r="K106" s="249">
        <f>D106-I106</f>
        <v>597160</v>
      </c>
      <c r="L106" s="202"/>
      <c r="M106" s="203"/>
      <c r="N106" s="233"/>
    </row>
    <row r="107" spans="1:14" s="205" customFormat="1" ht="114.75">
      <c r="A107" s="371">
        <v>40</v>
      </c>
      <c r="B107" s="378" t="s">
        <v>313</v>
      </c>
      <c r="C107" s="379" t="s">
        <v>312</v>
      </c>
      <c r="D107" s="380"/>
      <c r="E107" s="373" t="s">
        <v>402</v>
      </c>
      <c r="F107" s="381"/>
      <c r="G107" s="374"/>
      <c r="H107" s="382"/>
      <c r="I107" s="382"/>
      <c r="J107" s="375"/>
      <c r="K107" s="376"/>
      <c r="L107" s="377"/>
      <c r="M107" s="377"/>
      <c r="N107" s="403" t="s">
        <v>426</v>
      </c>
    </row>
    <row r="108" spans="1:14" s="264" customFormat="1" ht="38.25">
      <c r="A108" s="195"/>
      <c r="B108" s="196" t="s">
        <v>1</v>
      </c>
      <c r="C108" s="197"/>
      <c r="D108" s="198">
        <v>985500</v>
      </c>
      <c r="E108" s="322"/>
      <c r="F108" s="199"/>
      <c r="G108" s="213"/>
      <c r="H108" s="200"/>
      <c r="I108" s="200"/>
      <c r="J108" s="201">
        <f>I108*100/D108</f>
        <v>0</v>
      </c>
      <c r="K108" s="198">
        <f>D108-I108</f>
        <v>985500</v>
      </c>
      <c r="L108" s="203"/>
      <c r="M108" s="202"/>
      <c r="N108" s="181"/>
    </row>
    <row r="109" spans="1:14" s="205" customFormat="1" ht="191.25">
      <c r="A109" s="371">
        <v>41</v>
      </c>
      <c r="B109" s="378" t="s">
        <v>314</v>
      </c>
      <c r="C109" s="379" t="s">
        <v>315</v>
      </c>
      <c r="D109" s="380"/>
      <c r="E109" s="373" t="s">
        <v>403</v>
      </c>
      <c r="F109" s="381"/>
      <c r="G109" s="374"/>
      <c r="H109" s="382"/>
      <c r="I109" s="382"/>
      <c r="J109" s="375"/>
      <c r="K109" s="376"/>
      <c r="L109" s="377"/>
      <c r="M109" s="377"/>
      <c r="N109" s="403" t="s">
        <v>426</v>
      </c>
    </row>
    <row r="110" spans="1:14" s="264" customFormat="1" ht="38.25">
      <c r="A110" s="195"/>
      <c r="B110" s="196" t="s">
        <v>1</v>
      </c>
      <c r="C110" s="197"/>
      <c r="D110" s="198">
        <v>9518000</v>
      </c>
      <c r="E110" s="322"/>
      <c r="F110" s="199"/>
      <c r="G110" s="213"/>
      <c r="H110" s="200"/>
      <c r="I110" s="200"/>
      <c r="J110" s="201">
        <f>I110*100/D110</f>
        <v>0</v>
      </c>
      <c r="K110" s="198">
        <f>D110-I110</f>
        <v>9518000</v>
      </c>
      <c r="L110" s="203"/>
      <c r="M110" s="202"/>
      <c r="N110" s="181"/>
    </row>
    <row r="111" spans="1:14" s="264" customFormat="1" ht="191.25">
      <c r="A111" s="195"/>
      <c r="B111" s="216" t="s">
        <v>366</v>
      </c>
      <c r="C111" s="197"/>
      <c r="D111" s="198"/>
      <c r="E111" s="322"/>
      <c r="F111" s="199"/>
      <c r="G111" s="213"/>
      <c r="H111" s="200"/>
      <c r="I111" s="200"/>
      <c r="J111" s="201"/>
      <c r="K111" s="198"/>
      <c r="L111" s="203"/>
      <c r="M111" s="202"/>
      <c r="N111" s="181"/>
    </row>
    <row r="112" spans="1:14" s="205" customFormat="1" ht="76.5">
      <c r="A112" s="222">
        <v>42</v>
      </c>
      <c r="B112" s="168" t="s">
        <v>322</v>
      </c>
      <c r="C112" s="422" t="s">
        <v>323</v>
      </c>
      <c r="D112" s="368"/>
      <c r="E112" s="324" t="s">
        <v>408</v>
      </c>
      <c r="F112" s="238"/>
      <c r="G112" s="227"/>
      <c r="H112" s="239"/>
      <c r="I112" s="239"/>
      <c r="J112" s="229"/>
      <c r="K112" s="230"/>
      <c r="L112" s="231"/>
      <c r="M112" s="231"/>
      <c r="N112" s="209" t="s">
        <v>422</v>
      </c>
    </row>
    <row r="113" spans="1:14" s="264" customFormat="1" ht="38.25">
      <c r="A113" s="195"/>
      <c r="B113" s="196" t="s">
        <v>1</v>
      </c>
      <c r="C113" s="197"/>
      <c r="D113" s="198">
        <v>1000000</v>
      </c>
      <c r="E113" s="322"/>
      <c r="F113" s="199"/>
      <c r="G113" s="199"/>
      <c r="H113" s="200"/>
      <c r="I113" s="200"/>
      <c r="J113" s="201">
        <f>I113*100/D113</f>
        <v>0</v>
      </c>
      <c r="K113" s="198">
        <f>D113-I113</f>
        <v>1000000</v>
      </c>
      <c r="L113" s="203"/>
      <c r="M113" s="202"/>
      <c r="N113" s="209"/>
    </row>
    <row r="114" spans="1:14" s="264" customFormat="1" ht="76.5">
      <c r="A114" s="195"/>
      <c r="B114" s="196" t="s">
        <v>367</v>
      </c>
      <c r="C114" s="197"/>
      <c r="D114" s="198"/>
      <c r="E114" s="322"/>
      <c r="F114" s="199"/>
      <c r="G114" s="199"/>
      <c r="H114" s="200"/>
      <c r="I114" s="200"/>
      <c r="J114" s="201"/>
      <c r="K114" s="198"/>
      <c r="L114" s="203"/>
      <c r="M114" s="202"/>
      <c r="N114" s="209"/>
    </row>
    <row r="115" spans="1:14" s="265" customFormat="1" ht="122.25" customHeight="1">
      <c r="A115" s="222">
        <v>43</v>
      </c>
      <c r="B115" s="168" t="s">
        <v>256</v>
      </c>
      <c r="C115" s="422" t="s">
        <v>4</v>
      </c>
      <c r="D115" s="368"/>
      <c r="E115" s="324" t="s">
        <v>92</v>
      </c>
      <c r="F115" s="238"/>
      <c r="G115" s="227"/>
      <c r="H115" s="239"/>
      <c r="I115" s="239"/>
      <c r="J115" s="270"/>
      <c r="K115" s="230"/>
      <c r="L115" s="231"/>
      <c r="M115" s="231"/>
      <c r="N115" s="209"/>
    </row>
    <row r="116" spans="1:14" s="265" customFormat="1" ht="38.25">
      <c r="A116" s="195"/>
      <c r="B116" s="196" t="s">
        <v>1</v>
      </c>
      <c r="C116" s="197"/>
      <c r="D116" s="198">
        <v>1825000</v>
      </c>
      <c r="E116" s="322"/>
      <c r="F116" s="199">
        <v>22643</v>
      </c>
      <c r="G116" s="199">
        <v>22732</v>
      </c>
      <c r="H116" s="200">
        <v>1587000</v>
      </c>
      <c r="I116" s="244"/>
      <c r="J116" s="248">
        <f>I116*100/D116</f>
        <v>0</v>
      </c>
      <c r="K116" s="249">
        <f>H116-I116</f>
        <v>1587000</v>
      </c>
      <c r="L116" s="203"/>
      <c r="M116" s="202">
        <f>D116-H116</f>
        <v>238000</v>
      </c>
      <c r="N116" s="181"/>
    </row>
    <row r="117" spans="1:14" s="169" customFormat="1" ht="191.25">
      <c r="A117" s="195"/>
      <c r="B117" s="236" t="s">
        <v>268</v>
      </c>
      <c r="C117" s="197"/>
      <c r="D117" s="198"/>
      <c r="E117" s="322"/>
      <c r="F117" s="199"/>
      <c r="G117" s="213"/>
      <c r="H117" s="200"/>
      <c r="I117" s="244"/>
      <c r="J117" s="248"/>
      <c r="K117" s="249"/>
      <c r="L117" s="203"/>
      <c r="M117" s="203"/>
      <c r="N117" s="181" t="s">
        <v>428</v>
      </c>
    </row>
    <row r="118" spans="1:14" s="265" customFormat="1" ht="123" customHeight="1">
      <c r="A118" s="222">
        <v>44</v>
      </c>
      <c r="B118" s="168" t="s">
        <v>255</v>
      </c>
      <c r="C118" s="422" t="s">
        <v>4</v>
      </c>
      <c r="D118" s="368"/>
      <c r="E118" s="324" t="s">
        <v>77</v>
      </c>
      <c r="F118" s="238"/>
      <c r="G118" s="227"/>
      <c r="H118" s="239"/>
      <c r="I118" s="239"/>
      <c r="J118" s="229"/>
      <c r="K118" s="230"/>
      <c r="L118" s="231"/>
      <c r="M118" s="231"/>
      <c r="N118" s="402"/>
    </row>
    <row r="119" spans="1:14" s="205" customFormat="1" ht="38.25">
      <c r="A119" s="195"/>
      <c r="B119" s="196" t="s">
        <v>53</v>
      </c>
      <c r="C119" s="197"/>
      <c r="D119" s="198">
        <v>3547000</v>
      </c>
      <c r="E119" s="322"/>
      <c r="F119" s="199">
        <v>22663</v>
      </c>
      <c r="G119" s="199">
        <v>22782</v>
      </c>
      <c r="H119" s="200">
        <v>2500000</v>
      </c>
      <c r="I119" s="244"/>
      <c r="J119" s="248">
        <f>I119*100/D119</f>
        <v>0</v>
      </c>
      <c r="K119" s="249">
        <f>H119-I119</f>
        <v>2500000</v>
      </c>
      <c r="L119" s="221"/>
      <c r="M119" s="202">
        <f>D119-K119</f>
        <v>1047000</v>
      </c>
      <c r="N119" s="181"/>
    </row>
    <row r="120" spans="1:14" s="169" customFormat="1" ht="191.25">
      <c r="A120" s="195"/>
      <c r="B120" s="184" t="s">
        <v>269</v>
      </c>
      <c r="C120" s="197"/>
      <c r="D120" s="198"/>
      <c r="E120" s="322"/>
      <c r="F120" s="199"/>
      <c r="G120" s="213"/>
      <c r="H120" s="200"/>
      <c r="I120" s="244"/>
      <c r="J120" s="248"/>
      <c r="K120" s="249"/>
      <c r="L120" s="221"/>
      <c r="M120" s="203"/>
      <c r="N120" s="181" t="s">
        <v>429</v>
      </c>
    </row>
    <row r="121" spans="1:14" s="205" customFormat="1" ht="76.5">
      <c r="A121" s="222">
        <v>45</v>
      </c>
      <c r="B121" s="416" t="s">
        <v>285</v>
      </c>
      <c r="C121" s="467" t="s">
        <v>4</v>
      </c>
      <c r="D121" s="230"/>
      <c r="E121" s="454" t="s">
        <v>235</v>
      </c>
      <c r="F121" s="238"/>
      <c r="G121" s="227"/>
      <c r="H121" s="239"/>
      <c r="I121" s="269"/>
      <c r="J121" s="270"/>
      <c r="K121" s="225"/>
      <c r="L121" s="423"/>
      <c r="M121" s="231"/>
      <c r="N121" s="209" t="s">
        <v>404</v>
      </c>
    </row>
    <row r="122" spans="1:14" s="421" customFormat="1" ht="38.25">
      <c r="A122" s="170"/>
      <c r="B122" s="171" t="s">
        <v>2</v>
      </c>
      <c r="C122" s="172"/>
      <c r="D122" s="177">
        <v>1000000</v>
      </c>
      <c r="E122" s="319"/>
      <c r="F122" s="174">
        <v>241870</v>
      </c>
      <c r="G122" s="336">
        <v>241990</v>
      </c>
      <c r="H122" s="175">
        <v>998000</v>
      </c>
      <c r="I122" s="406"/>
      <c r="J122" s="176">
        <f t="shared" ref="J122" si="3">I122*100/D122</f>
        <v>0</v>
      </c>
      <c r="K122" s="177">
        <f>D122-I122-L122</f>
        <v>998000</v>
      </c>
      <c r="L122" s="338">
        <v>2000</v>
      </c>
      <c r="M122" s="179"/>
      <c r="N122" s="420"/>
    </row>
    <row r="123" spans="1:14" s="205" customFormat="1" ht="191.25">
      <c r="A123" s="371">
        <v>46</v>
      </c>
      <c r="B123" s="378" t="s">
        <v>316</v>
      </c>
      <c r="C123" s="468" t="s">
        <v>4</v>
      </c>
      <c r="D123" s="380"/>
      <c r="E123" s="373" t="s">
        <v>413</v>
      </c>
      <c r="F123" s="381"/>
      <c r="G123" s="374"/>
      <c r="H123" s="382"/>
      <c r="I123" s="382"/>
      <c r="J123" s="375"/>
      <c r="K123" s="376"/>
      <c r="L123" s="377"/>
      <c r="M123" s="377"/>
      <c r="N123" s="403" t="s">
        <v>426</v>
      </c>
    </row>
    <row r="124" spans="1:14" s="264" customFormat="1" ht="38.25">
      <c r="A124" s="195"/>
      <c r="B124" s="196" t="s">
        <v>364</v>
      </c>
      <c r="C124" s="197"/>
      <c r="D124" s="198">
        <v>1818000</v>
      </c>
      <c r="E124" s="322"/>
      <c r="F124" s="199"/>
      <c r="G124" s="213"/>
      <c r="H124" s="200"/>
      <c r="I124" s="200"/>
      <c r="J124" s="201">
        <f>I124*100/D124</f>
        <v>0</v>
      </c>
      <c r="K124" s="198">
        <f>D124-I124</f>
        <v>1818000</v>
      </c>
      <c r="L124" s="203"/>
      <c r="M124" s="202"/>
      <c r="N124" s="181"/>
    </row>
    <row r="125" spans="1:14" s="264" customFormat="1" ht="306">
      <c r="A125" s="195"/>
      <c r="B125" s="216" t="s">
        <v>365</v>
      </c>
      <c r="C125" s="197"/>
      <c r="D125" s="198"/>
      <c r="E125" s="322"/>
      <c r="F125" s="199"/>
      <c r="G125" s="213"/>
      <c r="H125" s="200"/>
      <c r="I125" s="200"/>
      <c r="J125" s="201"/>
      <c r="K125" s="198"/>
      <c r="L125" s="203"/>
      <c r="M125" s="202"/>
      <c r="N125" s="181"/>
    </row>
    <row r="126" spans="1:14" s="265" customFormat="1" ht="191.25">
      <c r="A126" s="222">
        <v>47</v>
      </c>
      <c r="B126" s="168" t="s">
        <v>302</v>
      </c>
      <c r="C126" s="268" t="s">
        <v>100</v>
      </c>
      <c r="D126" s="368"/>
      <c r="E126" s="324" t="s">
        <v>78</v>
      </c>
      <c r="F126" s="226"/>
      <c r="G126" s="227"/>
      <c r="H126" s="228"/>
      <c r="I126" s="228"/>
      <c r="J126" s="229"/>
      <c r="K126" s="230"/>
      <c r="L126" s="231"/>
      <c r="M126" s="231"/>
      <c r="N126" s="209"/>
    </row>
    <row r="127" spans="1:14" s="267" customFormat="1" ht="38.25">
      <c r="A127" s="195"/>
      <c r="B127" s="196" t="s">
        <v>1</v>
      </c>
      <c r="C127" s="197"/>
      <c r="D127" s="249">
        <v>5000000</v>
      </c>
      <c r="E127" s="322"/>
      <c r="F127" s="219">
        <v>22644</v>
      </c>
      <c r="G127" s="199">
        <v>22793</v>
      </c>
      <c r="H127" s="220">
        <v>4790000</v>
      </c>
      <c r="I127" s="220"/>
      <c r="J127" s="201">
        <f>I127*100/D127</f>
        <v>0</v>
      </c>
      <c r="K127" s="198">
        <f>H127-I127</f>
        <v>4790000</v>
      </c>
      <c r="L127" s="203"/>
      <c r="M127" s="221">
        <f>D127-H127</f>
        <v>210000</v>
      </c>
      <c r="N127" s="181"/>
    </row>
    <row r="128" spans="1:14" s="169" customFormat="1" ht="191.25">
      <c r="A128" s="259"/>
      <c r="B128" s="400" t="s">
        <v>270</v>
      </c>
      <c r="C128" s="224"/>
      <c r="D128" s="225"/>
      <c r="E128" s="324"/>
      <c r="F128" s="226"/>
      <c r="G128" s="227"/>
      <c r="H128" s="228"/>
      <c r="I128" s="228"/>
      <c r="J128" s="229"/>
      <c r="K128" s="230"/>
      <c r="L128" s="231"/>
      <c r="M128" s="231"/>
      <c r="N128" s="181" t="s">
        <v>346</v>
      </c>
    </row>
    <row r="129" spans="1:14" s="265" customFormat="1" ht="123" customHeight="1">
      <c r="A129" s="222">
        <v>48</v>
      </c>
      <c r="B129" s="223" t="s">
        <v>264</v>
      </c>
      <c r="C129" s="268" t="s">
        <v>100</v>
      </c>
      <c r="D129" s="225"/>
      <c r="E129" s="324" t="s">
        <v>78</v>
      </c>
      <c r="F129" s="226"/>
      <c r="G129" s="227"/>
      <c r="H129" s="228"/>
      <c r="I129" s="228"/>
      <c r="J129" s="229"/>
      <c r="K129" s="230"/>
      <c r="L129" s="231"/>
      <c r="M129" s="231"/>
      <c r="N129" s="209"/>
    </row>
    <row r="130" spans="1:14" s="265" customFormat="1" ht="38.25">
      <c r="A130" s="222"/>
      <c r="B130" s="237" t="s">
        <v>1</v>
      </c>
      <c r="C130" s="268"/>
      <c r="D130" s="230">
        <v>2427000</v>
      </c>
      <c r="E130" s="324"/>
      <c r="F130" s="226">
        <v>22644</v>
      </c>
      <c r="G130" s="238">
        <v>22733</v>
      </c>
      <c r="H130" s="228">
        <v>1666000</v>
      </c>
      <c r="I130" s="228"/>
      <c r="J130" s="229">
        <f>I130*100/D130</f>
        <v>0</v>
      </c>
      <c r="K130" s="230">
        <f>H130-I130</f>
        <v>1666000</v>
      </c>
      <c r="L130" s="423"/>
      <c r="M130" s="240">
        <f>D130-H130</f>
        <v>761000</v>
      </c>
      <c r="N130" s="181"/>
    </row>
    <row r="131" spans="1:14" s="265" customFormat="1" ht="153">
      <c r="A131" s="222"/>
      <c r="B131" s="425" t="s">
        <v>303</v>
      </c>
      <c r="C131" s="268"/>
      <c r="D131" s="230"/>
      <c r="E131" s="324"/>
      <c r="F131" s="226"/>
      <c r="G131" s="227"/>
      <c r="H131" s="228"/>
      <c r="I131" s="228"/>
      <c r="J131" s="229"/>
      <c r="K131" s="230"/>
      <c r="L131" s="423"/>
      <c r="M131" s="231"/>
      <c r="N131" s="181" t="s">
        <v>395</v>
      </c>
    </row>
    <row r="132" spans="1:14" s="265" customFormat="1" ht="153">
      <c r="A132" s="222">
        <v>49</v>
      </c>
      <c r="B132" s="416" t="s">
        <v>254</v>
      </c>
      <c r="C132" s="268" t="s">
        <v>100</v>
      </c>
      <c r="D132" s="230"/>
      <c r="E132" s="324" t="s">
        <v>93</v>
      </c>
      <c r="F132" s="227"/>
      <c r="G132" s="227"/>
      <c r="H132" s="239"/>
      <c r="I132" s="239"/>
      <c r="J132" s="229"/>
      <c r="K132" s="230"/>
      <c r="L132" s="231"/>
      <c r="M132" s="231"/>
      <c r="N132" s="209"/>
    </row>
    <row r="133" spans="1:14" s="265" customFormat="1" ht="38.25">
      <c r="A133" s="195"/>
      <c r="B133" s="196" t="s">
        <v>1</v>
      </c>
      <c r="C133" s="197"/>
      <c r="D133" s="198">
        <v>1543000</v>
      </c>
      <c r="E133" s="322"/>
      <c r="F133" s="226">
        <v>22644</v>
      </c>
      <c r="G133" s="213">
        <v>22703</v>
      </c>
      <c r="H133" s="200">
        <v>1050000</v>
      </c>
      <c r="I133" s="200">
        <v>1050000</v>
      </c>
      <c r="J133" s="201">
        <f>H133*100/I133</f>
        <v>100</v>
      </c>
      <c r="K133" s="198">
        <f>H133-I133</f>
        <v>0</v>
      </c>
      <c r="L133" s="203"/>
      <c r="M133" s="202">
        <f>D133-H133</f>
        <v>493000</v>
      </c>
      <c r="N133" s="181"/>
    </row>
    <row r="134" spans="1:14" s="169" customFormat="1" ht="171.75" customHeight="1">
      <c r="A134" s="195"/>
      <c r="B134" s="236" t="s">
        <v>283</v>
      </c>
      <c r="C134" s="197"/>
      <c r="D134" s="198"/>
      <c r="E134" s="322"/>
      <c r="F134" s="199"/>
      <c r="G134" s="213"/>
      <c r="H134" s="200"/>
      <c r="I134" s="200"/>
      <c r="J134" s="201"/>
      <c r="K134" s="198"/>
      <c r="L134" s="203"/>
      <c r="M134" s="203"/>
      <c r="N134" s="217" t="s">
        <v>238</v>
      </c>
    </row>
    <row r="135" spans="1:14" s="205" customFormat="1" ht="114.75">
      <c r="A135" s="222">
        <v>50</v>
      </c>
      <c r="B135" s="416" t="s">
        <v>230</v>
      </c>
      <c r="C135" s="268" t="s">
        <v>100</v>
      </c>
      <c r="D135" s="230"/>
      <c r="E135" s="324" t="s">
        <v>206</v>
      </c>
      <c r="F135" s="238"/>
      <c r="G135" s="227"/>
      <c r="H135" s="239"/>
      <c r="I135" s="239"/>
      <c r="J135" s="229"/>
      <c r="K135" s="230"/>
      <c r="L135" s="231"/>
      <c r="M135" s="231"/>
      <c r="N135" s="181" t="s">
        <v>389</v>
      </c>
    </row>
    <row r="136" spans="1:14" s="169" customFormat="1" ht="38.25">
      <c r="A136" s="195"/>
      <c r="B136" s="196" t="s">
        <v>2</v>
      </c>
      <c r="C136" s="197"/>
      <c r="D136" s="198">
        <v>1235900</v>
      </c>
      <c r="E136" s="322"/>
      <c r="F136" s="199"/>
      <c r="G136" s="213"/>
      <c r="H136" s="200"/>
      <c r="I136" s="200"/>
      <c r="J136" s="201">
        <f>I136*100/D136</f>
        <v>0</v>
      </c>
      <c r="K136" s="198">
        <f>D136-I136</f>
        <v>1235900</v>
      </c>
      <c r="L136" s="203"/>
      <c r="M136" s="203"/>
      <c r="N136" s="217"/>
    </row>
    <row r="137" spans="1:14" s="417" customFormat="1" ht="76.5">
      <c r="A137" s="419">
        <v>51</v>
      </c>
      <c r="B137" s="359" t="s">
        <v>54</v>
      </c>
      <c r="C137" s="243" t="s">
        <v>55</v>
      </c>
      <c r="D137" s="221"/>
      <c r="E137" s="326" t="s">
        <v>79</v>
      </c>
      <c r="F137" s="250"/>
      <c r="G137" s="246"/>
      <c r="H137" s="244"/>
      <c r="I137" s="244"/>
      <c r="J137" s="248"/>
      <c r="K137" s="249"/>
      <c r="L137" s="203"/>
      <c r="M137" s="203"/>
      <c r="N137" s="353" t="s">
        <v>347</v>
      </c>
    </row>
    <row r="138" spans="1:14" s="194" customFormat="1" ht="38.25">
      <c r="A138" s="195"/>
      <c r="B138" s="196" t="s">
        <v>2</v>
      </c>
      <c r="C138" s="197"/>
      <c r="D138" s="198">
        <v>2500000</v>
      </c>
      <c r="E138" s="322"/>
      <c r="F138" s="199">
        <v>22685</v>
      </c>
      <c r="G138" s="199">
        <v>22839</v>
      </c>
      <c r="H138" s="200">
        <v>2478000</v>
      </c>
      <c r="I138" s="200"/>
      <c r="J138" s="201">
        <f>I138*100/D138</f>
        <v>0</v>
      </c>
      <c r="K138" s="198">
        <f>H138-I138</f>
        <v>2478000</v>
      </c>
      <c r="L138" s="202">
        <v>22000</v>
      </c>
      <c r="M138" s="202"/>
      <c r="N138" s="241"/>
    </row>
    <row r="139" spans="1:14" s="265" customFormat="1" ht="114.75">
      <c r="A139" s="222">
        <v>52</v>
      </c>
      <c r="B139" s="168" t="s">
        <v>231</v>
      </c>
      <c r="C139" s="268" t="s">
        <v>55</v>
      </c>
      <c r="D139" s="368"/>
      <c r="E139" s="324" t="s">
        <v>81</v>
      </c>
      <c r="F139" s="238"/>
      <c r="G139" s="227"/>
      <c r="H139" s="239"/>
      <c r="I139" s="239"/>
      <c r="J139" s="229"/>
      <c r="K139" s="230"/>
      <c r="L139" s="231"/>
      <c r="M139" s="231"/>
      <c r="N139" s="209"/>
    </row>
    <row r="140" spans="1:14" s="265" customFormat="1" ht="38.25">
      <c r="A140" s="222"/>
      <c r="B140" s="237" t="s">
        <v>1</v>
      </c>
      <c r="C140" s="268"/>
      <c r="D140" s="230">
        <v>1135000</v>
      </c>
      <c r="E140" s="324"/>
      <c r="F140" s="238"/>
      <c r="G140" s="238"/>
      <c r="H140" s="239"/>
      <c r="I140" s="269"/>
      <c r="J140" s="270">
        <f>I140*100/D140</f>
        <v>0</v>
      </c>
      <c r="K140" s="225">
        <f>D140-I140</f>
        <v>1135000</v>
      </c>
      <c r="L140" s="231"/>
      <c r="M140" s="240"/>
      <c r="N140" s="402"/>
    </row>
    <row r="141" spans="1:14" s="265" customFormat="1" ht="191.25">
      <c r="A141" s="222"/>
      <c r="B141" s="416" t="s">
        <v>271</v>
      </c>
      <c r="C141" s="268"/>
      <c r="D141" s="230"/>
      <c r="E141" s="324"/>
      <c r="F141" s="238"/>
      <c r="G141" s="238"/>
      <c r="H141" s="239"/>
      <c r="I141" s="269"/>
      <c r="J141" s="270"/>
      <c r="K141" s="225"/>
      <c r="L141" s="231"/>
      <c r="M141" s="240"/>
      <c r="N141" s="400" t="s">
        <v>396</v>
      </c>
    </row>
    <row r="142" spans="1:14" s="265" customFormat="1" ht="153">
      <c r="A142" s="222">
        <v>53</v>
      </c>
      <c r="B142" s="168" t="s">
        <v>305</v>
      </c>
      <c r="C142" s="268" t="s">
        <v>56</v>
      </c>
      <c r="D142" s="368"/>
      <c r="E142" s="324" t="s">
        <v>87</v>
      </c>
      <c r="F142" s="238"/>
      <c r="G142" s="227"/>
      <c r="H142" s="239"/>
      <c r="I142" s="239"/>
      <c r="J142" s="229"/>
      <c r="K142" s="230"/>
      <c r="L142" s="231"/>
      <c r="M142" s="231"/>
      <c r="N142" s="209"/>
    </row>
    <row r="143" spans="1:14" s="205" customFormat="1" ht="38.25">
      <c r="A143" s="195"/>
      <c r="B143" s="196" t="s">
        <v>1</v>
      </c>
      <c r="C143" s="197"/>
      <c r="D143" s="198">
        <v>1734000</v>
      </c>
      <c r="E143" s="322"/>
      <c r="F143" s="199">
        <v>241744</v>
      </c>
      <c r="G143" s="213">
        <v>241804</v>
      </c>
      <c r="H143" s="200">
        <v>1138000</v>
      </c>
      <c r="I143" s="244">
        <v>1138000</v>
      </c>
      <c r="J143" s="248">
        <f>H143*100/I143</f>
        <v>100</v>
      </c>
      <c r="K143" s="249">
        <f>D143-I143-M143</f>
        <v>0</v>
      </c>
      <c r="L143" s="221"/>
      <c r="M143" s="271">
        <f>D143-H143</f>
        <v>596000</v>
      </c>
      <c r="N143" s="398"/>
    </row>
    <row r="144" spans="1:14" s="169" customFormat="1" ht="191.25">
      <c r="A144" s="195"/>
      <c r="B144" s="272" t="s">
        <v>304</v>
      </c>
      <c r="C144" s="197"/>
      <c r="D144" s="198"/>
      <c r="E144" s="322"/>
      <c r="F144" s="199"/>
      <c r="G144" s="213"/>
      <c r="H144" s="200"/>
      <c r="I144" s="244"/>
      <c r="J144" s="248"/>
      <c r="K144" s="249"/>
      <c r="L144" s="221"/>
      <c r="M144" s="203"/>
      <c r="N144" s="217" t="s">
        <v>238</v>
      </c>
    </row>
    <row r="145" spans="1:14" s="265" customFormat="1" ht="114.75">
      <c r="A145" s="222">
        <v>54</v>
      </c>
      <c r="B145" s="168" t="s">
        <v>253</v>
      </c>
      <c r="C145" s="268" t="s">
        <v>56</v>
      </c>
      <c r="D145" s="368"/>
      <c r="E145" s="324" t="s">
        <v>87</v>
      </c>
      <c r="F145" s="238"/>
      <c r="G145" s="227"/>
      <c r="H145" s="239"/>
      <c r="I145" s="239"/>
      <c r="J145" s="229"/>
      <c r="K145" s="230"/>
      <c r="L145" s="231"/>
      <c r="M145" s="231"/>
      <c r="N145" s="209"/>
    </row>
    <row r="146" spans="1:14" s="264" customFormat="1" ht="38.25">
      <c r="A146" s="273"/>
      <c r="B146" s="196" t="s">
        <v>1</v>
      </c>
      <c r="C146" s="197"/>
      <c r="D146" s="198">
        <v>2800000</v>
      </c>
      <c r="E146" s="322"/>
      <c r="F146" s="199">
        <v>241744</v>
      </c>
      <c r="G146" s="213">
        <v>241834</v>
      </c>
      <c r="H146" s="200">
        <v>1815000</v>
      </c>
      <c r="I146" s="244"/>
      <c r="J146" s="248">
        <f>I146*100/D146</f>
        <v>0</v>
      </c>
      <c r="K146" s="249">
        <f>D146-I146-M146</f>
        <v>1815000</v>
      </c>
      <c r="L146" s="221"/>
      <c r="M146" s="202">
        <f>D146-H146</f>
        <v>985000</v>
      </c>
      <c r="N146" s="398"/>
    </row>
    <row r="147" spans="1:14" s="169" customFormat="1" ht="153">
      <c r="A147" s="273"/>
      <c r="B147" s="216" t="s">
        <v>350</v>
      </c>
      <c r="C147" s="197"/>
      <c r="D147" s="198"/>
      <c r="E147" s="322"/>
      <c r="F147" s="199"/>
      <c r="G147" s="213"/>
      <c r="H147" s="200"/>
      <c r="I147" s="244"/>
      <c r="J147" s="248"/>
      <c r="K147" s="249"/>
      <c r="L147" s="221"/>
      <c r="M147" s="203"/>
      <c r="N147" s="397" t="s">
        <v>370</v>
      </c>
    </row>
    <row r="148" spans="1:14" s="205" customFormat="1" ht="153">
      <c r="A148" s="195">
        <v>55</v>
      </c>
      <c r="B148" s="369" t="s">
        <v>272</v>
      </c>
      <c r="C148" s="197" t="s">
        <v>57</v>
      </c>
      <c r="D148" s="370"/>
      <c r="E148" s="322" t="s">
        <v>88</v>
      </c>
      <c r="F148" s="199"/>
      <c r="G148" s="213"/>
      <c r="H148" s="200"/>
      <c r="I148" s="200"/>
      <c r="J148" s="201"/>
      <c r="K148" s="198"/>
      <c r="L148" s="203"/>
      <c r="M148" s="203"/>
      <c r="N148" s="369"/>
    </row>
    <row r="149" spans="1:14" s="205" customFormat="1" ht="38.25">
      <c r="A149" s="195"/>
      <c r="B149" s="196" t="s">
        <v>1</v>
      </c>
      <c r="C149" s="197"/>
      <c r="D149" s="198">
        <v>12780000</v>
      </c>
      <c r="E149" s="322"/>
      <c r="F149" s="199">
        <v>241851</v>
      </c>
      <c r="G149" s="213">
        <v>242121</v>
      </c>
      <c r="H149" s="200">
        <v>10591000</v>
      </c>
      <c r="I149" s="244"/>
      <c r="J149" s="248">
        <f>I149*100/D149</f>
        <v>0</v>
      </c>
      <c r="K149" s="249">
        <f>D149-I149-M149</f>
        <v>10591000</v>
      </c>
      <c r="L149" s="203"/>
      <c r="M149" s="423">
        <v>2189000</v>
      </c>
      <c r="N149" s="217"/>
    </row>
    <row r="150" spans="1:14" s="182" customFormat="1" ht="191.25">
      <c r="A150" s="183"/>
      <c r="B150" s="236" t="s">
        <v>348</v>
      </c>
      <c r="C150" s="185"/>
      <c r="D150" s="186"/>
      <c r="E150" s="323"/>
      <c r="F150" s="187"/>
      <c r="G150" s="188"/>
      <c r="H150" s="189"/>
      <c r="I150" s="214"/>
      <c r="J150" s="215"/>
      <c r="K150" s="212"/>
      <c r="L150" s="191"/>
      <c r="M150" s="191"/>
      <c r="N150" s="397" t="s">
        <v>349</v>
      </c>
    </row>
    <row r="151" spans="1:14" s="265" customFormat="1" ht="114.75">
      <c r="A151" s="222">
        <v>56</v>
      </c>
      <c r="B151" s="168" t="s">
        <v>252</v>
      </c>
      <c r="C151" s="268" t="s">
        <v>57</v>
      </c>
      <c r="D151" s="368"/>
      <c r="E151" s="324" t="s">
        <v>88</v>
      </c>
      <c r="F151" s="238"/>
      <c r="G151" s="227"/>
      <c r="H151" s="239"/>
      <c r="I151" s="239"/>
      <c r="J151" s="229"/>
      <c r="K151" s="230"/>
      <c r="L151" s="231"/>
      <c r="M151" s="231"/>
      <c r="N151" s="398"/>
    </row>
    <row r="152" spans="1:14" s="205" customFormat="1" ht="38.25">
      <c r="A152" s="195"/>
      <c r="B152" s="196" t="s">
        <v>1</v>
      </c>
      <c r="C152" s="197"/>
      <c r="D152" s="198">
        <v>1246000</v>
      </c>
      <c r="E152" s="322"/>
      <c r="F152" s="199">
        <v>241761</v>
      </c>
      <c r="G152" s="199">
        <v>241851</v>
      </c>
      <c r="H152" s="200">
        <v>772000</v>
      </c>
      <c r="I152" s="244">
        <v>772000</v>
      </c>
      <c r="J152" s="248">
        <f>H152*100/I152</f>
        <v>100</v>
      </c>
      <c r="K152" s="249">
        <f>D152-I152-M152</f>
        <v>0</v>
      </c>
      <c r="L152" s="202"/>
      <c r="M152" s="271">
        <f>D152-H152</f>
        <v>474000</v>
      </c>
      <c r="N152" s="181"/>
    </row>
    <row r="153" spans="1:14" s="169" customFormat="1" ht="153">
      <c r="A153" s="195"/>
      <c r="B153" s="236" t="s">
        <v>273</v>
      </c>
      <c r="C153" s="197" t="s">
        <v>68</v>
      </c>
      <c r="D153" s="198"/>
      <c r="E153" s="322"/>
      <c r="F153" s="199"/>
      <c r="G153" s="199"/>
      <c r="H153" s="200"/>
      <c r="I153" s="244"/>
      <c r="J153" s="248"/>
      <c r="K153" s="249"/>
      <c r="L153" s="202"/>
      <c r="M153" s="203"/>
      <c r="N153" s="217" t="s">
        <v>238</v>
      </c>
    </row>
    <row r="154" spans="1:14" s="265" customFormat="1" ht="114.75">
      <c r="A154" s="222">
        <v>57</v>
      </c>
      <c r="B154" s="168" t="s">
        <v>251</v>
      </c>
      <c r="C154" s="268" t="s">
        <v>3</v>
      </c>
      <c r="D154" s="368"/>
      <c r="E154" s="324" t="s">
        <v>80</v>
      </c>
      <c r="F154" s="238"/>
      <c r="G154" s="227"/>
      <c r="H154" s="239"/>
      <c r="I154" s="239"/>
      <c r="J154" s="229"/>
      <c r="K154" s="230"/>
      <c r="L154" s="231"/>
      <c r="M154" s="231"/>
      <c r="N154" s="402"/>
    </row>
    <row r="155" spans="1:14" s="205" customFormat="1" ht="38.25">
      <c r="A155" s="195"/>
      <c r="B155" s="196" t="s">
        <v>1</v>
      </c>
      <c r="C155" s="197"/>
      <c r="D155" s="198">
        <v>2286000</v>
      </c>
      <c r="E155" s="322"/>
      <c r="F155" s="199">
        <v>22690</v>
      </c>
      <c r="G155" s="199">
        <v>22809</v>
      </c>
      <c r="H155" s="200">
        <v>1750000</v>
      </c>
      <c r="I155" s="244"/>
      <c r="J155" s="248">
        <f>I155*100/D155</f>
        <v>0</v>
      </c>
      <c r="K155" s="249">
        <f>D155-I155</f>
        <v>2286000</v>
      </c>
      <c r="L155" s="203"/>
      <c r="M155" s="202">
        <f>D155-H155</f>
        <v>536000</v>
      </c>
      <c r="N155" s="181"/>
    </row>
    <row r="156" spans="1:14" s="169" customFormat="1" ht="165.75" customHeight="1">
      <c r="A156" s="195"/>
      <c r="B156" s="184" t="s">
        <v>306</v>
      </c>
      <c r="C156" s="197"/>
      <c r="D156" s="198"/>
      <c r="E156" s="322"/>
      <c r="F156" s="199"/>
      <c r="G156" s="213"/>
      <c r="H156" s="200"/>
      <c r="I156" s="244"/>
      <c r="J156" s="248"/>
      <c r="K156" s="249"/>
      <c r="L156" s="203"/>
      <c r="M156" s="203"/>
      <c r="N156" s="397" t="s">
        <v>291</v>
      </c>
    </row>
    <row r="157" spans="1:14" s="265" customFormat="1" ht="114.75">
      <c r="A157" s="415">
        <v>58</v>
      </c>
      <c r="B157" s="168" t="s">
        <v>307</v>
      </c>
      <c r="C157" s="268" t="s">
        <v>3</v>
      </c>
      <c r="D157" s="368"/>
      <c r="E157" s="324" t="s">
        <v>80</v>
      </c>
      <c r="F157" s="238"/>
      <c r="G157" s="227"/>
      <c r="H157" s="239"/>
      <c r="I157" s="239"/>
      <c r="J157" s="229"/>
      <c r="K157" s="230"/>
      <c r="L157" s="231"/>
      <c r="M157" s="231"/>
      <c r="N157" s="181"/>
    </row>
    <row r="158" spans="1:14" s="264" customFormat="1" ht="38.25">
      <c r="A158" s="273"/>
      <c r="B158" s="196" t="s">
        <v>1</v>
      </c>
      <c r="C158" s="197"/>
      <c r="D158" s="198">
        <v>1249000</v>
      </c>
      <c r="E158" s="322"/>
      <c r="F158" s="199">
        <v>22653</v>
      </c>
      <c r="G158" s="199">
        <v>22712</v>
      </c>
      <c r="H158" s="200">
        <v>940000</v>
      </c>
      <c r="I158" s="200"/>
      <c r="J158" s="201">
        <f>I158*100/D158</f>
        <v>0</v>
      </c>
      <c r="K158" s="198">
        <f>H158-I158</f>
        <v>940000</v>
      </c>
      <c r="L158" s="203"/>
      <c r="M158" s="202">
        <f>D158-H158</f>
        <v>309000</v>
      </c>
      <c r="N158" s="181"/>
    </row>
    <row r="159" spans="1:14" s="169" customFormat="1" ht="153">
      <c r="A159" s="273"/>
      <c r="B159" s="236" t="s">
        <v>274</v>
      </c>
      <c r="C159" s="197"/>
      <c r="D159" s="198"/>
      <c r="E159" s="322"/>
      <c r="F159" s="199"/>
      <c r="G159" s="199"/>
      <c r="H159" s="200"/>
      <c r="I159" s="200"/>
      <c r="J159" s="201"/>
      <c r="K159" s="198"/>
      <c r="L159" s="203"/>
      <c r="M159" s="202"/>
      <c r="N159" s="181" t="s">
        <v>390</v>
      </c>
    </row>
    <row r="160" spans="1:14" s="265" customFormat="1" ht="153">
      <c r="A160" s="222">
        <v>59</v>
      </c>
      <c r="B160" s="168" t="s">
        <v>250</v>
      </c>
      <c r="C160" s="268" t="s">
        <v>58</v>
      </c>
      <c r="D160" s="368"/>
      <c r="E160" s="324" t="s">
        <v>82</v>
      </c>
      <c r="F160" s="238"/>
      <c r="G160" s="227"/>
      <c r="H160" s="239"/>
      <c r="I160" s="239"/>
      <c r="J160" s="229"/>
      <c r="K160" s="230"/>
      <c r="L160" s="231"/>
      <c r="M160" s="231"/>
      <c r="N160" s="402"/>
    </row>
    <row r="161" spans="1:14" s="205" customFormat="1" ht="38.25">
      <c r="A161" s="195"/>
      <c r="B161" s="196" t="s">
        <v>1</v>
      </c>
      <c r="C161" s="197"/>
      <c r="D161" s="198">
        <v>1630000</v>
      </c>
      <c r="E161" s="322"/>
      <c r="F161" s="199">
        <v>241753</v>
      </c>
      <c r="G161" s="199">
        <v>241797</v>
      </c>
      <c r="H161" s="200">
        <v>1109000</v>
      </c>
      <c r="I161" s="244">
        <v>1109000</v>
      </c>
      <c r="J161" s="248">
        <f>I161*100/I161</f>
        <v>100</v>
      </c>
      <c r="K161" s="249">
        <f>D161-I161-M161</f>
        <v>0</v>
      </c>
      <c r="L161" s="203"/>
      <c r="M161" s="271">
        <f>D161-H161</f>
        <v>521000</v>
      </c>
      <c r="N161" s="181"/>
    </row>
    <row r="162" spans="1:14" s="194" customFormat="1" ht="229.5">
      <c r="A162" s="195"/>
      <c r="B162" s="272" t="s">
        <v>339</v>
      </c>
      <c r="C162" s="197"/>
      <c r="D162" s="198"/>
      <c r="E162" s="322"/>
      <c r="F162" s="199"/>
      <c r="G162" s="213"/>
      <c r="H162" s="200"/>
      <c r="I162" s="244"/>
      <c r="J162" s="248"/>
      <c r="K162" s="249"/>
      <c r="L162" s="203"/>
      <c r="M162" s="203"/>
      <c r="N162" s="217" t="s">
        <v>238</v>
      </c>
    </row>
    <row r="163" spans="1:14" s="205" customFormat="1" ht="114.75">
      <c r="A163" s="222">
        <v>60</v>
      </c>
      <c r="B163" s="168" t="s">
        <v>275</v>
      </c>
      <c r="C163" s="268" t="s">
        <v>58</v>
      </c>
      <c r="D163" s="368"/>
      <c r="E163" s="324" t="s">
        <v>94</v>
      </c>
      <c r="F163" s="238"/>
      <c r="G163" s="227"/>
      <c r="H163" s="239"/>
      <c r="I163" s="239"/>
      <c r="J163" s="229"/>
      <c r="K163" s="230"/>
      <c r="L163" s="231"/>
      <c r="M163" s="231"/>
      <c r="N163" s="266"/>
    </row>
    <row r="164" spans="1:14" s="264" customFormat="1" ht="38.25">
      <c r="A164" s="273"/>
      <c r="B164" s="196" t="s">
        <v>1</v>
      </c>
      <c r="C164" s="197"/>
      <c r="D164" s="198">
        <v>1000000</v>
      </c>
      <c r="E164" s="322"/>
      <c r="F164" s="199">
        <v>241862</v>
      </c>
      <c r="G164" s="213">
        <v>241907</v>
      </c>
      <c r="H164" s="200">
        <v>640000</v>
      </c>
      <c r="I164" s="244"/>
      <c r="J164" s="248">
        <f>I164*100/D164</f>
        <v>0</v>
      </c>
      <c r="K164" s="249">
        <f>D164-I164-M164</f>
        <v>640000</v>
      </c>
      <c r="L164" s="203"/>
      <c r="M164" s="221">
        <v>360000</v>
      </c>
      <c r="N164" s="168"/>
    </row>
    <row r="165" spans="1:14" s="182" customFormat="1" ht="153">
      <c r="A165" s="274"/>
      <c r="B165" s="261" t="s">
        <v>276</v>
      </c>
      <c r="C165" s="185"/>
      <c r="D165" s="186"/>
      <c r="E165" s="323"/>
      <c r="F165" s="187"/>
      <c r="G165" s="188"/>
      <c r="H165" s="189"/>
      <c r="I165" s="214"/>
      <c r="J165" s="215"/>
      <c r="K165" s="212"/>
      <c r="L165" s="191"/>
      <c r="M165" s="191"/>
      <c r="N165" s="209" t="s">
        <v>371</v>
      </c>
    </row>
    <row r="166" spans="1:14" s="265" customFormat="1" ht="114.75">
      <c r="A166" s="222">
        <v>61</v>
      </c>
      <c r="B166" s="168" t="s">
        <v>249</v>
      </c>
      <c r="C166" s="268" t="s">
        <v>59</v>
      </c>
      <c r="D166" s="368"/>
      <c r="E166" s="324" t="s">
        <v>95</v>
      </c>
      <c r="F166" s="238"/>
      <c r="G166" s="227"/>
      <c r="H166" s="239"/>
      <c r="I166" s="239"/>
      <c r="J166" s="229"/>
      <c r="K166" s="230"/>
      <c r="L166" s="231"/>
      <c r="M166" s="231" t="s">
        <v>66</v>
      </c>
      <c r="N166" s="209"/>
    </row>
    <row r="167" spans="1:14" s="265" customFormat="1" ht="41.25" customHeight="1">
      <c r="A167" s="195"/>
      <c r="B167" s="196" t="s">
        <v>1</v>
      </c>
      <c r="C167" s="197"/>
      <c r="D167" s="198">
        <v>894000</v>
      </c>
      <c r="E167" s="322"/>
      <c r="F167" s="199">
        <v>241869</v>
      </c>
      <c r="G167" s="213">
        <v>241965</v>
      </c>
      <c r="H167" s="200">
        <v>893900</v>
      </c>
      <c r="I167" s="244"/>
      <c r="J167" s="248">
        <f>I167*100/D167</f>
        <v>0</v>
      </c>
      <c r="K167" s="249">
        <f>D167-I167-M167</f>
        <v>893900</v>
      </c>
      <c r="L167" s="203"/>
      <c r="M167" s="202">
        <f>D167-H167</f>
        <v>100</v>
      </c>
      <c r="N167" s="181"/>
    </row>
    <row r="168" spans="1:14" s="169" customFormat="1" ht="191.25">
      <c r="A168" s="195"/>
      <c r="B168" s="272" t="s">
        <v>277</v>
      </c>
      <c r="C168" s="197"/>
      <c r="D168" s="198"/>
      <c r="E168" s="322"/>
      <c r="F168" s="199"/>
      <c r="G168" s="213"/>
      <c r="H168" s="200"/>
      <c r="I168" s="244"/>
      <c r="J168" s="248"/>
      <c r="K168" s="249"/>
      <c r="L168" s="203"/>
      <c r="M168" s="203"/>
      <c r="N168" s="397" t="s">
        <v>291</v>
      </c>
    </row>
    <row r="169" spans="1:14" s="205" customFormat="1" ht="114.75">
      <c r="A169" s="195">
        <v>62</v>
      </c>
      <c r="B169" s="369" t="s">
        <v>248</v>
      </c>
      <c r="C169" s="197" t="s">
        <v>59</v>
      </c>
      <c r="D169" s="370"/>
      <c r="E169" s="322" t="s">
        <v>95</v>
      </c>
      <c r="F169" s="199"/>
      <c r="G169" s="213"/>
      <c r="H169" s="200"/>
      <c r="I169" s="244"/>
      <c r="J169" s="248"/>
      <c r="K169" s="249"/>
      <c r="L169" s="203"/>
      <c r="M169" s="203"/>
      <c r="N169" s="369"/>
    </row>
    <row r="170" spans="1:14" s="267" customFormat="1" ht="38.25">
      <c r="A170" s="195"/>
      <c r="B170" s="196" t="s">
        <v>1</v>
      </c>
      <c r="C170" s="197"/>
      <c r="D170" s="198">
        <v>681000</v>
      </c>
      <c r="E170" s="322"/>
      <c r="F170" s="199">
        <v>241869</v>
      </c>
      <c r="G170" s="213">
        <v>241965</v>
      </c>
      <c r="H170" s="200">
        <v>680900</v>
      </c>
      <c r="I170" s="244"/>
      <c r="J170" s="248">
        <f>I170*100/D170</f>
        <v>0</v>
      </c>
      <c r="K170" s="249">
        <f>D170-I170-M170</f>
        <v>680900</v>
      </c>
      <c r="L170" s="203"/>
      <c r="M170" s="202">
        <f>D170-H170</f>
        <v>100</v>
      </c>
      <c r="N170" s="217"/>
    </row>
    <row r="171" spans="1:14" s="182" customFormat="1" ht="153">
      <c r="A171" s="275"/>
      <c r="B171" s="209" t="s">
        <v>278</v>
      </c>
      <c r="C171" s="276"/>
      <c r="D171" s="277"/>
      <c r="E171" s="331"/>
      <c r="F171" s="278"/>
      <c r="G171" s="279"/>
      <c r="H171" s="280"/>
      <c r="I171" s="280"/>
      <c r="J171" s="281"/>
      <c r="K171" s="277"/>
      <c r="L171" s="282"/>
      <c r="M171" s="282"/>
      <c r="N171" s="397" t="s">
        <v>291</v>
      </c>
    </row>
    <row r="172" spans="1:14" s="265" customFormat="1" ht="114.75">
      <c r="A172" s="222">
        <v>63</v>
      </c>
      <c r="B172" s="168" t="s">
        <v>351</v>
      </c>
      <c r="C172" s="268" t="s">
        <v>59</v>
      </c>
      <c r="D172" s="368"/>
      <c r="E172" s="324" t="s">
        <v>95</v>
      </c>
      <c r="F172" s="238"/>
      <c r="G172" s="227"/>
      <c r="H172" s="239"/>
      <c r="I172" s="269"/>
      <c r="J172" s="270"/>
      <c r="K172" s="225"/>
      <c r="L172" s="231"/>
      <c r="M172" s="231"/>
      <c r="N172" s="209"/>
    </row>
    <row r="173" spans="1:14" s="265" customFormat="1" ht="38.25" hidden="1">
      <c r="A173" s="222"/>
      <c r="B173" s="237" t="s">
        <v>1</v>
      </c>
      <c r="C173" s="268"/>
      <c r="D173" s="230">
        <v>803000</v>
      </c>
      <c r="E173" s="324"/>
      <c r="F173" s="238"/>
      <c r="G173" s="227"/>
      <c r="H173" s="239"/>
      <c r="I173" s="269"/>
      <c r="J173" s="270">
        <f>I173*100/D173</f>
        <v>0</v>
      </c>
      <c r="K173" s="225">
        <f>D173-I173</f>
        <v>803000</v>
      </c>
      <c r="L173" s="231"/>
      <c r="M173" s="231"/>
      <c r="N173" s="181" t="s">
        <v>108</v>
      </c>
    </row>
    <row r="174" spans="1:14" s="265" customFormat="1" ht="76.5" hidden="1">
      <c r="A174" s="222"/>
      <c r="B174" s="168" t="s">
        <v>223</v>
      </c>
      <c r="C174" s="268"/>
      <c r="D174" s="230">
        <v>2500</v>
      </c>
      <c r="E174" s="325"/>
      <c r="F174" s="238"/>
      <c r="G174" s="238"/>
      <c r="H174" s="239"/>
      <c r="I174" s="239"/>
      <c r="J174" s="229"/>
      <c r="K174" s="230"/>
      <c r="L174" s="231"/>
      <c r="M174" s="231"/>
      <c r="N174" s="402"/>
    </row>
    <row r="175" spans="1:14" s="265" customFormat="1" ht="38.25" hidden="1">
      <c r="A175" s="222"/>
      <c r="B175" s="168" t="s">
        <v>17</v>
      </c>
      <c r="C175" s="268"/>
      <c r="D175" s="230"/>
      <c r="E175" s="325"/>
      <c r="F175" s="238"/>
      <c r="G175" s="227"/>
      <c r="H175" s="239"/>
      <c r="I175" s="239"/>
      <c r="J175" s="229"/>
      <c r="K175" s="230"/>
      <c r="L175" s="231"/>
      <c r="M175" s="231"/>
      <c r="N175" s="402"/>
    </row>
    <row r="176" spans="1:14" s="265" customFormat="1" ht="114.75" hidden="1">
      <c r="A176" s="222"/>
      <c r="B176" s="168" t="s">
        <v>16</v>
      </c>
      <c r="C176" s="268"/>
      <c r="D176" s="230">
        <v>14800</v>
      </c>
      <c r="E176" s="325"/>
      <c r="F176" s="238"/>
      <c r="G176" s="238"/>
      <c r="H176" s="239"/>
      <c r="I176" s="239"/>
      <c r="J176" s="229"/>
      <c r="K176" s="230"/>
      <c r="L176" s="231"/>
      <c r="M176" s="231"/>
      <c r="N176" s="402"/>
    </row>
    <row r="177" spans="1:14" s="265" customFormat="1" ht="153" hidden="1">
      <c r="A177" s="222"/>
      <c r="B177" s="168" t="s">
        <v>15</v>
      </c>
      <c r="C177" s="268"/>
      <c r="D177" s="230">
        <v>22200</v>
      </c>
      <c r="E177" s="325"/>
      <c r="F177" s="238"/>
      <c r="G177" s="238"/>
      <c r="H177" s="239"/>
      <c r="I177" s="239"/>
      <c r="J177" s="229"/>
      <c r="K177" s="230"/>
      <c r="L177" s="231"/>
      <c r="M177" s="231"/>
      <c r="N177" s="402"/>
    </row>
    <row r="178" spans="1:14" s="265" customFormat="1" ht="114.75" hidden="1">
      <c r="A178" s="222"/>
      <c r="B178" s="168" t="s">
        <v>14</v>
      </c>
      <c r="C178" s="268"/>
      <c r="D178" s="230">
        <v>47500</v>
      </c>
      <c r="E178" s="325"/>
      <c r="F178" s="238"/>
      <c r="G178" s="238"/>
      <c r="H178" s="239"/>
      <c r="I178" s="239"/>
      <c r="J178" s="229"/>
      <c r="K178" s="230"/>
      <c r="L178" s="231"/>
      <c r="M178" s="231"/>
      <c r="N178" s="402"/>
    </row>
    <row r="179" spans="1:14" s="265" customFormat="1" ht="153" hidden="1">
      <c r="A179" s="222"/>
      <c r="B179" s="168" t="s">
        <v>13</v>
      </c>
      <c r="C179" s="268"/>
      <c r="D179" s="230">
        <v>11600</v>
      </c>
      <c r="E179" s="325"/>
      <c r="F179" s="238"/>
      <c r="G179" s="238"/>
      <c r="H179" s="239"/>
      <c r="I179" s="239"/>
      <c r="J179" s="229"/>
      <c r="K179" s="230"/>
      <c r="L179" s="231"/>
      <c r="M179" s="231"/>
      <c r="N179" s="402"/>
    </row>
    <row r="180" spans="1:14" s="265" customFormat="1" ht="114.75" hidden="1">
      <c r="A180" s="222"/>
      <c r="B180" s="168" t="s">
        <v>12</v>
      </c>
      <c r="C180" s="268"/>
      <c r="D180" s="230">
        <v>29700</v>
      </c>
      <c r="E180" s="325"/>
      <c r="F180" s="238"/>
      <c r="G180" s="238"/>
      <c r="H180" s="239"/>
      <c r="I180" s="239"/>
      <c r="J180" s="229"/>
      <c r="K180" s="230"/>
      <c r="L180" s="231"/>
      <c r="M180" s="231"/>
      <c r="N180" s="402"/>
    </row>
    <row r="181" spans="1:14" s="265" customFormat="1" ht="153" hidden="1">
      <c r="A181" s="222"/>
      <c r="B181" s="168" t="s">
        <v>11</v>
      </c>
      <c r="C181" s="268"/>
      <c r="D181" s="230">
        <v>46800</v>
      </c>
      <c r="E181" s="325"/>
      <c r="F181" s="238"/>
      <c r="G181" s="238"/>
      <c r="H181" s="239"/>
      <c r="I181" s="239"/>
      <c r="J181" s="229"/>
      <c r="K181" s="230"/>
      <c r="L181" s="231"/>
      <c r="M181" s="231"/>
      <c r="N181" s="402"/>
    </row>
    <row r="182" spans="1:14" s="265" customFormat="1" ht="114.75" hidden="1">
      <c r="A182" s="222"/>
      <c r="B182" s="168" t="s">
        <v>10</v>
      </c>
      <c r="C182" s="268"/>
      <c r="D182" s="230">
        <v>8900</v>
      </c>
      <c r="E182" s="325"/>
      <c r="F182" s="238"/>
      <c r="G182" s="238"/>
      <c r="H182" s="239"/>
      <c r="I182" s="239"/>
      <c r="J182" s="229"/>
      <c r="K182" s="230"/>
      <c r="L182" s="231"/>
      <c r="M182" s="231"/>
      <c r="N182" s="402"/>
    </row>
    <row r="183" spans="1:14" s="265" customFormat="1" ht="114.75" hidden="1">
      <c r="A183" s="222"/>
      <c r="B183" s="168" t="s">
        <v>9</v>
      </c>
      <c r="C183" s="268"/>
      <c r="D183" s="230">
        <v>15600</v>
      </c>
      <c r="E183" s="325"/>
      <c r="F183" s="238"/>
      <c r="G183" s="238"/>
      <c r="H183" s="239"/>
      <c r="I183" s="239"/>
      <c r="J183" s="229"/>
      <c r="K183" s="230"/>
      <c r="L183" s="231"/>
      <c r="M183" s="231"/>
      <c r="N183" s="402"/>
    </row>
    <row r="184" spans="1:14" s="265" customFormat="1" ht="153" hidden="1">
      <c r="A184" s="222"/>
      <c r="B184" s="168" t="s">
        <v>8</v>
      </c>
      <c r="C184" s="268"/>
      <c r="D184" s="230">
        <v>4900</v>
      </c>
      <c r="E184" s="325"/>
      <c r="F184" s="238"/>
      <c r="G184" s="238"/>
      <c r="H184" s="239"/>
      <c r="I184" s="239"/>
      <c r="J184" s="229"/>
      <c r="K184" s="230"/>
      <c r="L184" s="231"/>
      <c r="M184" s="231"/>
      <c r="N184" s="402"/>
    </row>
    <row r="185" spans="1:14" s="265" customFormat="1" ht="153" hidden="1">
      <c r="A185" s="222"/>
      <c r="B185" s="168" t="s">
        <v>7</v>
      </c>
      <c r="C185" s="268"/>
      <c r="D185" s="230">
        <v>7800</v>
      </c>
      <c r="E185" s="325"/>
      <c r="F185" s="238"/>
      <c r="G185" s="238"/>
      <c r="H185" s="239"/>
      <c r="I185" s="239"/>
      <c r="J185" s="229"/>
      <c r="K185" s="230"/>
      <c r="L185" s="231"/>
      <c r="M185" s="231"/>
      <c r="N185" s="402"/>
    </row>
    <row r="186" spans="1:14" s="265" customFormat="1" ht="191.25" hidden="1">
      <c r="A186" s="222"/>
      <c r="B186" s="168" t="s">
        <v>6</v>
      </c>
      <c r="C186" s="268"/>
      <c r="D186" s="230">
        <v>15600</v>
      </c>
      <c r="E186" s="325"/>
      <c r="F186" s="238"/>
      <c r="G186" s="238"/>
      <c r="H186" s="239"/>
      <c r="I186" s="239"/>
      <c r="J186" s="229"/>
      <c r="K186" s="230"/>
      <c r="L186" s="231"/>
      <c r="M186" s="231"/>
      <c r="N186" s="402"/>
    </row>
    <row r="187" spans="1:14" s="265" customFormat="1" ht="38.25">
      <c r="A187" s="222"/>
      <c r="B187" s="237" t="s">
        <v>1</v>
      </c>
      <c r="C187" s="268"/>
      <c r="D187" s="230">
        <v>803000</v>
      </c>
      <c r="E187" s="325"/>
      <c r="F187" s="238">
        <v>241869</v>
      </c>
      <c r="G187" s="238">
        <v>241965</v>
      </c>
      <c r="H187" s="239">
        <v>802900</v>
      </c>
      <c r="I187" s="239"/>
      <c r="J187" s="229">
        <f>I187*100/D187</f>
        <v>0</v>
      </c>
      <c r="K187" s="230">
        <f>D187-I187-M187</f>
        <v>802900</v>
      </c>
      <c r="L187" s="231"/>
      <c r="M187" s="240">
        <f>D187-H187</f>
        <v>100</v>
      </c>
      <c r="N187" s="402"/>
    </row>
    <row r="188" spans="1:14" s="265" customFormat="1" ht="191.25">
      <c r="A188" s="222"/>
      <c r="B188" s="168" t="s">
        <v>352</v>
      </c>
      <c r="C188" s="268"/>
      <c r="D188" s="230"/>
      <c r="E188" s="325"/>
      <c r="F188" s="238"/>
      <c r="G188" s="238"/>
      <c r="H188" s="239"/>
      <c r="I188" s="239"/>
      <c r="J188" s="229"/>
      <c r="K188" s="230"/>
      <c r="L188" s="231"/>
      <c r="M188" s="231"/>
      <c r="N188" s="397" t="s">
        <v>291</v>
      </c>
    </row>
    <row r="189" spans="1:14" s="205" customFormat="1" ht="191.25">
      <c r="A189" s="340">
        <v>64</v>
      </c>
      <c r="B189" s="346" t="s">
        <v>324</v>
      </c>
      <c r="C189" s="354" t="s">
        <v>59</v>
      </c>
      <c r="D189" s="349"/>
      <c r="E189" s="341" t="s">
        <v>414</v>
      </c>
      <c r="F189" s="350"/>
      <c r="G189" s="342"/>
      <c r="H189" s="351"/>
      <c r="I189" s="351"/>
      <c r="J189" s="343"/>
      <c r="K189" s="344"/>
      <c r="L189" s="345"/>
      <c r="M189" s="345"/>
      <c r="N189" s="356" t="s">
        <v>422</v>
      </c>
    </row>
    <row r="190" spans="1:14" s="264" customFormat="1" ht="38.25">
      <c r="A190" s="195"/>
      <c r="B190" s="196" t="s">
        <v>1</v>
      </c>
      <c r="C190" s="197"/>
      <c r="D190" s="198">
        <v>764500</v>
      </c>
      <c r="E190" s="322"/>
      <c r="F190" s="199"/>
      <c r="G190" s="199"/>
      <c r="H190" s="200"/>
      <c r="I190" s="200"/>
      <c r="J190" s="201">
        <f>I190*100/D190</f>
        <v>0</v>
      </c>
      <c r="K190" s="198">
        <f>D190-I190</f>
        <v>764500</v>
      </c>
      <c r="L190" s="203"/>
      <c r="M190" s="202"/>
      <c r="N190" s="209"/>
    </row>
    <row r="191" spans="1:14" s="264" customFormat="1" ht="267.75">
      <c r="A191" s="195"/>
      <c r="B191" s="196" t="s">
        <v>353</v>
      </c>
      <c r="C191" s="197"/>
      <c r="D191" s="198"/>
      <c r="E191" s="322"/>
      <c r="F191" s="199"/>
      <c r="G191" s="199"/>
      <c r="H191" s="200"/>
      <c r="I191" s="200"/>
      <c r="J191" s="201"/>
      <c r="K191" s="198"/>
      <c r="L191" s="203"/>
      <c r="M191" s="202"/>
      <c r="N191" s="209"/>
    </row>
    <row r="192" spans="1:14" s="205" customFormat="1" ht="114.75">
      <c r="A192" s="371">
        <v>65</v>
      </c>
      <c r="B192" s="378" t="s">
        <v>320</v>
      </c>
      <c r="C192" s="379" t="s">
        <v>59</v>
      </c>
      <c r="D192" s="380"/>
      <c r="E192" s="373"/>
      <c r="F192" s="381"/>
      <c r="G192" s="374"/>
      <c r="H192" s="382"/>
      <c r="I192" s="382"/>
      <c r="J192" s="375"/>
      <c r="K192" s="376"/>
      <c r="L192" s="377"/>
      <c r="M192" s="377"/>
      <c r="N192" s="403" t="s">
        <v>406</v>
      </c>
    </row>
    <row r="193" spans="1:14" s="264" customFormat="1" ht="38.25">
      <c r="A193" s="195"/>
      <c r="B193" s="196" t="s">
        <v>1</v>
      </c>
      <c r="C193" s="197"/>
      <c r="D193" s="198">
        <v>298000</v>
      </c>
      <c r="E193" s="322"/>
      <c r="F193" s="199"/>
      <c r="G193" s="213"/>
      <c r="H193" s="200"/>
      <c r="I193" s="200"/>
      <c r="J193" s="201">
        <f>I193*100/D193</f>
        <v>0</v>
      </c>
      <c r="K193" s="198">
        <f>D193-I193</f>
        <v>298000</v>
      </c>
      <c r="L193" s="203"/>
      <c r="M193" s="202"/>
      <c r="N193" s="181"/>
    </row>
    <row r="194" spans="1:14" s="264" customFormat="1" ht="267.75">
      <c r="A194" s="195"/>
      <c r="B194" s="216" t="s">
        <v>354</v>
      </c>
      <c r="C194" s="197"/>
      <c r="D194" s="198"/>
      <c r="E194" s="322"/>
      <c r="F194" s="199"/>
      <c r="G194" s="213"/>
      <c r="H194" s="200"/>
      <c r="I194" s="200"/>
      <c r="J194" s="201"/>
      <c r="K194" s="198"/>
      <c r="L194" s="203"/>
      <c r="M194" s="202"/>
      <c r="N194" s="181"/>
    </row>
    <row r="195" spans="1:14" s="267" customFormat="1" ht="114.75">
      <c r="A195" s="222">
        <v>66</v>
      </c>
      <c r="B195" s="416" t="s">
        <v>232</v>
      </c>
      <c r="C195" s="268" t="s">
        <v>60</v>
      </c>
      <c r="D195" s="230"/>
      <c r="E195" s="324" t="s">
        <v>83</v>
      </c>
      <c r="F195" s="226"/>
      <c r="G195" s="238"/>
      <c r="H195" s="228"/>
      <c r="I195" s="228"/>
      <c r="J195" s="229"/>
      <c r="K195" s="230"/>
      <c r="L195" s="241"/>
      <c r="M195" s="426"/>
      <c r="N195" s="181"/>
    </row>
    <row r="196" spans="1:14" s="267" customFormat="1" ht="38.25">
      <c r="A196" s="427"/>
      <c r="B196" s="237" t="s">
        <v>1</v>
      </c>
      <c r="C196" s="428"/>
      <c r="D196" s="230">
        <v>1344000</v>
      </c>
      <c r="E196" s="324"/>
      <c r="F196" s="226" t="s">
        <v>286</v>
      </c>
      <c r="G196" s="238">
        <v>22670</v>
      </c>
      <c r="H196" s="228">
        <v>950000</v>
      </c>
      <c r="I196" s="228">
        <v>950000</v>
      </c>
      <c r="J196" s="229">
        <f>I196*100/H196</f>
        <v>100</v>
      </c>
      <c r="K196" s="230">
        <f>H196-I196</f>
        <v>0</v>
      </c>
      <c r="L196" s="431"/>
      <c r="M196" s="426">
        <f>D196-H196</f>
        <v>394000</v>
      </c>
      <c r="N196" s="181"/>
    </row>
    <row r="197" spans="1:14" s="265" customFormat="1" ht="153">
      <c r="A197" s="427"/>
      <c r="B197" s="237" t="s">
        <v>279</v>
      </c>
      <c r="C197" s="428"/>
      <c r="D197" s="230"/>
      <c r="E197" s="324"/>
      <c r="F197" s="429"/>
      <c r="G197" s="430"/>
      <c r="H197" s="432"/>
      <c r="I197" s="228"/>
      <c r="J197" s="229"/>
      <c r="K197" s="230"/>
      <c r="L197" s="431"/>
      <c r="M197" s="426"/>
      <c r="N197" s="181" t="s">
        <v>287</v>
      </c>
    </row>
    <row r="198" spans="1:14" s="433" customFormat="1" ht="409.5">
      <c r="A198" s="222">
        <v>67</v>
      </c>
      <c r="B198" s="416" t="s">
        <v>356</v>
      </c>
      <c r="C198" s="268" t="s">
        <v>61</v>
      </c>
      <c r="D198" s="230"/>
      <c r="E198" s="324" t="s">
        <v>358</v>
      </c>
      <c r="F198" s="226"/>
      <c r="G198" s="238"/>
      <c r="H198" s="268"/>
      <c r="I198" s="228"/>
      <c r="J198" s="229"/>
      <c r="K198" s="230"/>
      <c r="L198" s="241"/>
      <c r="M198" s="241"/>
      <c r="N198" s="181" t="s">
        <v>380</v>
      </c>
    </row>
    <row r="199" spans="1:14" s="433" customFormat="1" ht="38.25">
      <c r="A199" s="427"/>
      <c r="B199" s="434" t="s">
        <v>1</v>
      </c>
      <c r="C199" s="428"/>
      <c r="D199" s="239">
        <v>1196000</v>
      </c>
      <c r="E199" s="435"/>
      <c r="F199" s="436"/>
      <c r="G199" s="437"/>
      <c r="H199" s="438"/>
      <c r="I199" s="228"/>
      <c r="J199" s="229">
        <f>I199*100/D199</f>
        <v>0</v>
      </c>
      <c r="K199" s="230">
        <f>D199-I199</f>
        <v>1196000</v>
      </c>
      <c r="L199" s="439"/>
      <c r="M199" s="440"/>
      <c r="N199" s="181"/>
    </row>
    <row r="200" spans="1:14" s="265" customFormat="1" ht="153">
      <c r="A200" s="427"/>
      <c r="B200" s="441" t="s">
        <v>357</v>
      </c>
      <c r="C200" s="428"/>
      <c r="D200" s="239"/>
      <c r="E200" s="435"/>
      <c r="F200" s="436"/>
      <c r="G200" s="437"/>
      <c r="H200" s="438"/>
      <c r="I200" s="228"/>
      <c r="J200" s="442"/>
      <c r="K200" s="230"/>
      <c r="L200" s="439"/>
      <c r="M200" s="440"/>
      <c r="N200" s="181"/>
    </row>
    <row r="201" spans="1:14" s="267" customFormat="1" ht="114.75">
      <c r="A201" s="222">
        <v>68</v>
      </c>
      <c r="B201" s="416" t="s">
        <v>280</v>
      </c>
      <c r="C201" s="268" t="s">
        <v>62</v>
      </c>
      <c r="D201" s="230"/>
      <c r="E201" s="324" t="s">
        <v>84</v>
      </c>
      <c r="F201" s="226"/>
      <c r="G201" s="238"/>
      <c r="H201" s="268"/>
      <c r="I201" s="228"/>
      <c r="J201" s="229"/>
      <c r="K201" s="230"/>
      <c r="L201" s="241" t="s">
        <v>68</v>
      </c>
      <c r="M201" s="241"/>
      <c r="N201" s="181"/>
    </row>
    <row r="202" spans="1:14" s="267" customFormat="1" ht="38.25">
      <c r="A202" s="427"/>
      <c r="B202" s="237" t="s">
        <v>1</v>
      </c>
      <c r="C202" s="428"/>
      <c r="D202" s="230">
        <v>1989000</v>
      </c>
      <c r="E202" s="435"/>
      <c r="F202" s="443" t="s">
        <v>286</v>
      </c>
      <c r="G202" s="443" t="s">
        <v>288</v>
      </c>
      <c r="H202" s="445">
        <v>1150000</v>
      </c>
      <c r="I202" s="228">
        <v>1150000</v>
      </c>
      <c r="J202" s="442">
        <f>I202*100/H202</f>
        <v>100</v>
      </c>
      <c r="K202" s="230">
        <f>I202-I202</f>
        <v>0</v>
      </c>
      <c r="L202" s="445"/>
      <c r="M202" s="440">
        <f>D202-H202</f>
        <v>839000</v>
      </c>
      <c r="N202" s="402"/>
    </row>
    <row r="203" spans="1:14" s="265" customFormat="1" ht="153">
      <c r="A203" s="427"/>
      <c r="B203" s="424" t="s">
        <v>292</v>
      </c>
      <c r="C203" s="428"/>
      <c r="D203" s="230"/>
      <c r="E203" s="435"/>
      <c r="F203" s="443"/>
      <c r="G203" s="444"/>
      <c r="H203" s="445"/>
      <c r="I203" s="228"/>
      <c r="J203" s="442"/>
      <c r="K203" s="230"/>
      <c r="L203" s="445"/>
      <c r="M203" s="440"/>
      <c r="N203" s="217" t="s">
        <v>238</v>
      </c>
    </row>
    <row r="204" spans="1:14" s="265" customFormat="1" ht="114.75">
      <c r="A204" s="222">
        <v>69</v>
      </c>
      <c r="B204" s="168" t="s">
        <v>247</v>
      </c>
      <c r="C204" s="268" t="s">
        <v>63</v>
      </c>
      <c r="D204" s="368"/>
      <c r="E204" s="324" t="s">
        <v>85</v>
      </c>
      <c r="F204" s="238"/>
      <c r="G204" s="227"/>
      <c r="H204" s="239"/>
      <c r="I204" s="239"/>
      <c r="J204" s="229"/>
      <c r="K204" s="230"/>
      <c r="L204" s="231"/>
      <c r="M204" s="231"/>
      <c r="N204" s="217"/>
    </row>
    <row r="205" spans="1:14" s="265" customFormat="1" ht="38.25">
      <c r="A205" s="222"/>
      <c r="B205" s="237" t="s">
        <v>1</v>
      </c>
      <c r="C205" s="268"/>
      <c r="D205" s="230">
        <v>6968000</v>
      </c>
      <c r="E205" s="324"/>
      <c r="F205" s="443" t="s">
        <v>289</v>
      </c>
      <c r="G205" s="238">
        <v>22790</v>
      </c>
      <c r="H205" s="239">
        <v>4870000</v>
      </c>
      <c r="I205" s="239"/>
      <c r="J205" s="229">
        <f>I205*100/D205</f>
        <v>0</v>
      </c>
      <c r="K205" s="230">
        <f>D205-I205</f>
        <v>6968000</v>
      </c>
      <c r="L205" s="231"/>
      <c r="M205" s="240">
        <f>D205-H205</f>
        <v>2098000</v>
      </c>
      <c r="N205" s="217"/>
    </row>
    <row r="206" spans="1:14" s="447" customFormat="1" ht="191.25">
      <c r="A206" s="275"/>
      <c r="B206" s="424" t="s">
        <v>281</v>
      </c>
      <c r="C206" s="276"/>
      <c r="D206" s="277"/>
      <c r="E206" s="446"/>
      <c r="F206" s="278"/>
      <c r="G206" s="279"/>
      <c r="H206" s="280"/>
      <c r="I206" s="280"/>
      <c r="J206" s="281"/>
      <c r="K206" s="277"/>
      <c r="L206" s="282"/>
      <c r="M206" s="448"/>
      <c r="N206" s="181" t="s">
        <v>290</v>
      </c>
    </row>
    <row r="207" spans="1:14" s="205" customFormat="1" ht="114.75">
      <c r="A207" s="371">
        <v>70</v>
      </c>
      <c r="B207" s="378" t="s">
        <v>246</v>
      </c>
      <c r="C207" s="379" t="s">
        <v>63</v>
      </c>
      <c r="D207" s="380"/>
      <c r="E207" s="373" t="s">
        <v>244</v>
      </c>
      <c r="F207" s="381"/>
      <c r="G207" s="374"/>
      <c r="H207" s="382"/>
      <c r="I207" s="382"/>
      <c r="J207" s="375"/>
      <c r="K207" s="376"/>
      <c r="L207" s="377"/>
      <c r="M207" s="377"/>
      <c r="N207" s="403"/>
    </row>
    <row r="208" spans="1:14" s="264" customFormat="1" ht="38.25">
      <c r="A208" s="195"/>
      <c r="B208" s="196" t="s">
        <v>1</v>
      </c>
      <c r="C208" s="197"/>
      <c r="D208" s="198">
        <v>498000</v>
      </c>
      <c r="E208" s="322"/>
      <c r="F208" s="199"/>
      <c r="G208" s="213"/>
      <c r="H208" s="200"/>
      <c r="I208" s="200"/>
      <c r="J208" s="201">
        <f>I208*100/D208</f>
        <v>0</v>
      </c>
      <c r="K208" s="198">
        <f>D208-I208</f>
        <v>498000</v>
      </c>
      <c r="L208" s="203"/>
      <c r="M208" s="202"/>
      <c r="N208" s="181"/>
    </row>
    <row r="209" spans="1:14" s="234" customFormat="1" ht="153">
      <c r="A209" s="183"/>
      <c r="B209" s="184" t="s">
        <v>361</v>
      </c>
      <c r="C209" s="185"/>
      <c r="D209" s="186"/>
      <c r="E209" s="323"/>
      <c r="F209" s="187"/>
      <c r="G209" s="188"/>
      <c r="H209" s="189"/>
      <c r="I209" s="189"/>
      <c r="J209" s="190"/>
      <c r="K209" s="186"/>
      <c r="L209" s="191"/>
      <c r="M209" s="263"/>
      <c r="N209" s="181" t="s">
        <v>430</v>
      </c>
    </row>
    <row r="210" spans="1:14" s="205" customFormat="1" ht="114.75">
      <c r="A210" s="371">
        <v>71</v>
      </c>
      <c r="B210" s="378" t="s">
        <v>265</v>
      </c>
      <c r="C210" s="379" t="s">
        <v>63</v>
      </c>
      <c r="D210" s="380"/>
      <c r="E210" s="373" t="s">
        <v>244</v>
      </c>
      <c r="F210" s="381"/>
      <c r="G210" s="374"/>
      <c r="H210" s="382"/>
      <c r="I210" s="382"/>
      <c r="J210" s="375"/>
      <c r="K210" s="376"/>
      <c r="L210" s="377"/>
      <c r="M210" s="377"/>
      <c r="N210" s="403"/>
    </row>
    <row r="211" spans="1:14" s="264" customFormat="1" ht="38.25">
      <c r="A211" s="195"/>
      <c r="B211" s="196" t="s">
        <v>1</v>
      </c>
      <c r="C211" s="197"/>
      <c r="D211" s="198">
        <v>498000</v>
      </c>
      <c r="E211" s="322"/>
      <c r="F211" s="199"/>
      <c r="G211" s="213"/>
      <c r="H211" s="200"/>
      <c r="I211" s="200"/>
      <c r="J211" s="201">
        <f>I211*100/D211</f>
        <v>0</v>
      </c>
      <c r="K211" s="198">
        <f>D211-I211</f>
        <v>498000</v>
      </c>
      <c r="L211" s="203"/>
      <c r="M211" s="202"/>
      <c r="N211" s="181"/>
    </row>
    <row r="212" spans="1:14" s="234" customFormat="1" ht="153">
      <c r="A212" s="183"/>
      <c r="B212" s="184" t="s">
        <v>446</v>
      </c>
      <c r="C212" s="185"/>
      <c r="D212" s="186"/>
      <c r="E212" s="323"/>
      <c r="F212" s="187"/>
      <c r="G212" s="188"/>
      <c r="H212" s="189"/>
      <c r="I212" s="189"/>
      <c r="J212" s="190"/>
      <c r="K212" s="186"/>
      <c r="L212" s="191"/>
      <c r="M212" s="263"/>
      <c r="N212" s="181" t="s">
        <v>430</v>
      </c>
    </row>
    <row r="213" spans="1:14" s="205" customFormat="1" ht="114.75">
      <c r="A213" s="371">
        <v>72</v>
      </c>
      <c r="B213" s="378" t="s">
        <v>411</v>
      </c>
      <c r="C213" s="379" t="s">
        <v>63</v>
      </c>
      <c r="D213" s="380"/>
      <c r="E213" s="373" t="s">
        <v>244</v>
      </c>
      <c r="F213" s="381"/>
      <c r="G213" s="374"/>
      <c r="H213" s="382"/>
      <c r="I213" s="382"/>
      <c r="J213" s="375"/>
      <c r="K213" s="376"/>
      <c r="L213" s="377"/>
      <c r="M213" s="377"/>
      <c r="N213" s="403"/>
    </row>
    <row r="214" spans="1:14" s="264" customFormat="1" ht="38.25">
      <c r="A214" s="195"/>
      <c r="B214" s="196" t="s">
        <v>1</v>
      </c>
      <c r="C214" s="197"/>
      <c r="D214" s="198">
        <v>490000</v>
      </c>
      <c r="E214" s="322"/>
      <c r="F214" s="199"/>
      <c r="G214" s="213"/>
      <c r="H214" s="200"/>
      <c r="I214" s="200"/>
      <c r="J214" s="201">
        <f>I214*100/D214</f>
        <v>0</v>
      </c>
      <c r="K214" s="198">
        <f>D214-I214</f>
        <v>490000</v>
      </c>
      <c r="L214" s="203"/>
      <c r="M214" s="202"/>
      <c r="N214" s="181"/>
    </row>
    <row r="215" spans="1:14" s="234" customFormat="1" ht="153">
      <c r="A215" s="183"/>
      <c r="B215" s="184" t="s">
        <v>412</v>
      </c>
      <c r="C215" s="185"/>
      <c r="D215" s="186"/>
      <c r="E215" s="323"/>
      <c r="F215" s="187"/>
      <c r="G215" s="188"/>
      <c r="H215" s="189"/>
      <c r="I215" s="189"/>
      <c r="J215" s="190"/>
      <c r="K215" s="186"/>
      <c r="L215" s="191"/>
      <c r="M215" s="263"/>
      <c r="N215" s="181" t="s">
        <v>430</v>
      </c>
    </row>
    <row r="216" spans="1:14" s="265" customFormat="1" ht="153">
      <c r="A216" s="222">
        <v>73</v>
      </c>
      <c r="B216" s="168" t="s">
        <v>234</v>
      </c>
      <c r="C216" s="268" t="s">
        <v>64</v>
      </c>
      <c r="D216" s="368"/>
      <c r="E216" s="324" t="s">
        <v>101</v>
      </c>
      <c r="F216" s="238"/>
      <c r="G216" s="227"/>
      <c r="H216" s="239"/>
      <c r="I216" s="239"/>
      <c r="J216" s="229"/>
      <c r="K216" s="230"/>
      <c r="L216" s="231"/>
      <c r="M216" s="231"/>
      <c r="N216" s="168"/>
    </row>
    <row r="217" spans="1:14" s="265" customFormat="1" ht="38.25">
      <c r="A217" s="222"/>
      <c r="B217" s="237" t="s">
        <v>1</v>
      </c>
      <c r="C217" s="268"/>
      <c r="D217" s="230">
        <v>2500000</v>
      </c>
      <c r="E217" s="324"/>
      <c r="F217" s="238">
        <v>241880</v>
      </c>
      <c r="G217" s="238">
        <v>241970</v>
      </c>
      <c r="H217" s="239">
        <v>2498000</v>
      </c>
      <c r="I217" s="239"/>
      <c r="J217" s="229">
        <f>I217*100/D217</f>
        <v>0</v>
      </c>
      <c r="K217" s="230">
        <f>D217-I217-M217</f>
        <v>2498000</v>
      </c>
      <c r="L217" s="231"/>
      <c r="M217" s="240">
        <f>D217-H217</f>
        <v>2000</v>
      </c>
      <c r="N217" s="209"/>
    </row>
    <row r="218" spans="1:14" s="182" customFormat="1" ht="156" customHeight="1">
      <c r="A218" s="183"/>
      <c r="B218" s="184" t="s">
        <v>284</v>
      </c>
      <c r="C218" s="185"/>
      <c r="D218" s="186"/>
      <c r="E218" s="323"/>
      <c r="F218" s="187"/>
      <c r="G218" s="187"/>
      <c r="H218" s="189"/>
      <c r="I218" s="189"/>
      <c r="J218" s="190"/>
      <c r="K218" s="186"/>
      <c r="L218" s="191"/>
      <c r="M218" s="263"/>
      <c r="N218" s="209" t="s">
        <v>381</v>
      </c>
    </row>
    <row r="219" spans="1:14" s="205" customFormat="1" ht="153">
      <c r="A219" s="222">
        <v>74</v>
      </c>
      <c r="B219" s="168" t="s">
        <v>325</v>
      </c>
      <c r="C219" s="422" t="s">
        <v>64</v>
      </c>
      <c r="D219" s="368"/>
      <c r="E219" s="324" t="s">
        <v>415</v>
      </c>
      <c r="F219" s="238"/>
      <c r="G219" s="227"/>
      <c r="H219" s="239"/>
      <c r="I219" s="239"/>
      <c r="J219" s="229"/>
      <c r="K219" s="230"/>
      <c r="L219" s="231"/>
      <c r="M219" s="231"/>
      <c r="N219" s="209" t="s">
        <v>422</v>
      </c>
    </row>
    <row r="220" spans="1:14" s="264" customFormat="1" ht="38.25">
      <c r="A220" s="195"/>
      <c r="B220" s="196" t="s">
        <v>1</v>
      </c>
      <c r="C220" s="197"/>
      <c r="D220" s="198">
        <v>1336000</v>
      </c>
      <c r="E220" s="322"/>
      <c r="F220" s="199"/>
      <c r="G220" s="199"/>
      <c r="H220" s="200"/>
      <c r="I220" s="200"/>
      <c r="J220" s="201">
        <f>I220*100/D220</f>
        <v>0</v>
      </c>
      <c r="K220" s="198">
        <f>D220-I220</f>
        <v>1336000</v>
      </c>
      <c r="L220" s="203"/>
      <c r="M220" s="202"/>
      <c r="N220" s="209"/>
    </row>
    <row r="221" spans="1:14" s="264" customFormat="1" ht="229.5">
      <c r="A221" s="195"/>
      <c r="B221" s="236" t="s">
        <v>368</v>
      </c>
      <c r="C221" s="197"/>
      <c r="D221" s="198"/>
      <c r="E221" s="322"/>
      <c r="F221" s="199"/>
      <c r="G221" s="199"/>
      <c r="H221" s="200"/>
      <c r="I221" s="200"/>
      <c r="J221" s="201"/>
      <c r="K221" s="198"/>
      <c r="L221" s="203"/>
      <c r="M221" s="202"/>
      <c r="N221" s="209"/>
    </row>
    <row r="222" spans="1:14" s="267" customFormat="1" ht="114.75">
      <c r="A222" s="222">
        <v>75</v>
      </c>
      <c r="B222" s="416" t="s">
        <v>245</v>
      </c>
      <c r="C222" s="268" t="s">
        <v>65</v>
      </c>
      <c r="D222" s="230"/>
      <c r="E222" s="324" t="s">
        <v>86</v>
      </c>
      <c r="F222" s="226"/>
      <c r="G222" s="238"/>
      <c r="H222" s="268"/>
      <c r="I222" s="228"/>
      <c r="J222" s="229"/>
      <c r="K222" s="230"/>
      <c r="L222" s="241"/>
      <c r="M222" s="241"/>
      <c r="N222" s="217" t="s">
        <v>328</v>
      </c>
    </row>
    <row r="223" spans="1:14" s="258" customFormat="1" ht="38.25">
      <c r="A223" s="259"/>
      <c r="B223" s="196" t="s">
        <v>1</v>
      </c>
      <c r="C223" s="197"/>
      <c r="D223" s="198">
        <v>1462000</v>
      </c>
      <c r="E223" s="332"/>
      <c r="F223" s="219">
        <v>22578</v>
      </c>
      <c r="G223" s="219">
        <v>241814</v>
      </c>
      <c r="H223" s="286">
        <v>1170000</v>
      </c>
      <c r="I223" s="220">
        <v>1170000</v>
      </c>
      <c r="J223" s="287">
        <f>I223*100/H223</f>
        <v>100</v>
      </c>
      <c r="K223" s="288">
        <f>D223-I223-M223</f>
        <v>0</v>
      </c>
      <c r="L223" s="284"/>
      <c r="M223" s="285">
        <f>D223-H223</f>
        <v>292000</v>
      </c>
      <c r="N223" s="181"/>
    </row>
    <row r="224" spans="1:14" s="205" customFormat="1" ht="153" hidden="1">
      <c r="A224" s="259"/>
      <c r="B224" s="236" t="s">
        <v>327</v>
      </c>
      <c r="C224" s="283"/>
      <c r="D224" s="198"/>
      <c r="E224" s="332"/>
      <c r="F224" s="289"/>
      <c r="G224" s="290"/>
      <c r="H224" s="291"/>
      <c r="I224" s="220"/>
      <c r="J224" s="292"/>
      <c r="K224" s="288"/>
      <c r="L224" s="284"/>
      <c r="M224" s="293"/>
      <c r="N224" s="181"/>
    </row>
    <row r="225" spans="1:14" s="305" customFormat="1" ht="38.25">
      <c r="A225" s="294"/>
      <c r="B225" s="295" t="s">
        <v>363</v>
      </c>
      <c r="C225" s="296"/>
      <c r="D225" s="297">
        <v>9000000</v>
      </c>
      <c r="E225" s="333"/>
      <c r="F225" s="298"/>
      <c r="G225" s="299"/>
      <c r="H225" s="300"/>
      <c r="I225" s="300">
        <v>2648349.38</v>
      </c>
      <c r="J225" s="301">
        <f>I225*100/D225</f>
        <v>29.426104222222222</v>
      </c>
      <c r="K225" s="302">
        <f>D225-I225</f>
        <v>6351650.6200000001</v>
      </c>
      <c r="L225" s="303"/>
      <c r="M225" s="303"/>
      <c r="N225" s="304"/>
    </row>
    <row r="226" spans="1:14" s="312" customFormat="1" ht="37.5" customHeight="1">
      <c r="A226" s="523" t="s">
        <v>362</v>
      </c>
      <c r="B226" s="523"/>
      <c r="C226" s="523"/>
      <c r="D226" s="306">
        <v>291351600</v>
      </c>
      <c r="E226" s="318"/>
      <c r="F226" s="307"/>
      <c r="G226" s="307"/>
      <c r="H226" s="306"/>
      <c r="I226" s="308">
        <f>I7+I9+I11+I13+I15+I17+I19+I21+I23+I25+I27+I29+I31+I34+I37+I40+I43+I46+I49+I52+I54+I55+I65+I67+I74+I76+I78+I80+I83+I85+I87+I89+I91+I93+I95+I97+I98+I104+I106+I108+I110+I113+I116+I119+I122+I124+I127+I130+I133+I136+I138+I140+I143+I146+I149+I152+I155+I158+I161+I164+I167+I170+I187+I190+I193+I196+I199+I202+I205+I208+I211+I214+I217+I220+I223+I225</f>
        <v>47591666.660000004</v>
      </c>
      <c r="J226" s="309">
        <f>I226*100/D226</f>
        <v>16.334788159735524</v>
      </c>
      <c r="K226" s="310">
        <f>D226-I226</f>
        <v>243759933.34</v>
      </c>
      <c r="L226" s="311">
        <f>SUM(L6:L225)</f>
        <v>2844858.58</v>
      </c>
      <c r="M226" s="311">
        <f>SUM(M6:M225)</f>
        <v>41770866.640000001</v>
      </c>
      <c r="N226" s="304"/>
    </row>
    <row r="227" spans="1:14" s="206" customFormat="1" ht="41.25" customHeight="1">
      <c r="A227" s="313"/>
      <c r="B227" s="314"/>
      <c r="C227" s="315"/>
      <c r="D227" s="316"/>
      <c r="E227" s="535" t="s">
        <v>209</v>
      </c>
      <c r="F227" s="536"/>
      <c r="G227" s="536"/>
      <c r="H227" s="536"/>
      <c r="I227" s="536"/>
      <c r="J227" s="536"/>
      <c r="K227" s="537"/>
      <c r="L227" s="538">
        <v>30700</v>
      </c>
      <c r="M227" s="538"/>
      <c r="N227" s="317"/>
    </row>
    <row r="228" spans="1:14" s="206" customFormat="1" ht="41.25" customHeight="1">
      <c r="A228" s="313"/>
      <c r="B228" s="314"/>
      <c r="C228" s="315"/>
      <c r="D228" s="316"/>
      <c r="E228" s="531" t="s">
        <v>208</v>
      </c>
      <c r="F228" s="531"/>
      <c r="G228" s="531"/>
      <c r="H228" s="531"/>
      <c r="I228" s="531"/>
      <c r="J228" s="531"/>
      <c r="K228" s="531"/>
      <c r="L228" s="538">
        <f>M226+L226</f>
        <v>44615725.219999999</v>
      </c>
      <c r="M228" s="538"/>
      <c r="N228" s="317"/>
    </row>
    <row r="229" spans="1:14" s="26" customFormat="1" ht="41.25" customHeight="1">
      <c r="A229" s="152"/>
      <c r="B229" s="153"/>
      <c r="C229" s="156"/>
      <c r="D229" s="155"/>
      <c r="E229" s="531" t="s">
        <v>226</v>
      </c>
      <c r="F229" s="531"/>
      <c r="G229" s="531"/>
      <c r="H229" s="531"/>
      <c r="I229" s="531"/>
      <c r="J229" s="531"/>
      <c r="K229" s="531"/>
      <c r="L229" s="532">
        <v>1486000</v>
      </c>
      <c r="M229" s="532"/>
      <c r="N229" s="334"/>
    </row>
    <row r="230" spans="1:14" s="26" customFormat="1" ht="41.25" customHeight="1">
      <c r="A230" s="152"/>
      <c r="B230" s="153"/>
      <c r="C230" s="156"/>
      <c r="D230" s="155"/>
      <c r="E230" s="531" t="s">
        <v>359</v>
      </c>
      <c r="F230" s="531"/>
      <c r="G230" s="531"/>
      <c r="H230" s="531"/>
      <c r="I230" s="531"/>
      <c r="J230" s="531"/>
      <c r="K230" s="531"/>
      <c r="L230" s="532">
        <v>31046400</v>
      </c>
      <c r="M230" s="532"/>
      <c r="N230" s="334"/>
    </row>
    <row r="231" spans="1:14" s="26" customFormat="1" ht="41.25" customHeight="1">
      <c r="A231" s="152"/>
      <c r="B231" s="153"/>
      <c r="C231" s="156"/>
      <c r="D231" s="155"/>
      <c r="E231" s="531" t="s">
        <v>360</v>
      </c>
      <c r="F231" s="531"/>
      <c r="G231" s="531"/>
      <c r="H231" s="531"/>
      <c r="I231" s="531"/>
      <c r="J231" s="531"/>
      <c r="K231" s="531"/>
      <c r="L231" s="532">
        <v>11548000</v>
      </c>
      <c r="M231" s="532"/>
      <c r="N231" s="334"/>
    </row>
    <row r="232" spans="1:14" s="26" customFormat="1" ht="41.25" customHeight="1">
      <c r="A232" s="152"/>
      <c r="B232" s="153"/>
      <c r="C232" s="154"/>
      <c r="D232" s="155"/>
      <c r="E232" s="531" t="s">
        <v>227</v>
      </c>
      <c r="F232" s="531"/>
      <c r="G232" s="531"/>
      <c r="H232" s="531"/>
      <c r="I232" s="531"/>
      <c r="J232" s="531"/>
      <c r="K232" s="531"/>
      <c r="L232" s="533">
        <f>L228-L229-L230-L231</f>
        <v>535325.21999999881</v>
      </c>
      <c r="M232" s="534"/>
      <c r="N232" s="404"/>
    </row>
    <row r="234" spans="1:14">
      <c r="C234" s="151"/>
    </row>
    <row r="237" spans="1:14">
      <c r="L237" s="405"/>
    </row>
  </sheetData>
  <mergeCells count="25">
    <mergeCell ref="E229:K229"/>
    <mergeCell ref="L229:M229"/>
    <mergeCell ref="E232:K232"/>
    <mergeCell ref="L232:M232"/>
    <mergeCell ref="E227:K227"/>
    <mergeCell ref="E228:K228"/>
    <mergeCell ref="L228:M228"/>
    <mergeCell ref="L227:M227"/>
    <mergeCell ref="E230:K230"/>
    <mergeCell ref="L230:M230"/>
    <mergeCell ref="E231:K231"/>
    <mergeCell ref="L231:M231"/>
    <mergeCell ref="M4:M5"/>
    <mergeCell ref="N4:N5"/>
    <mergeCell ref="A226:C226"/>
    <mergeCell ref="A2:N2"/>
    <mergeCell ref="A4:A5"/>
    <mergeCell ref="B4:B5"/>
    <mergeCell ref="C4:C5"/>
    <mergeCell ref="D4:D5"/>
    <mergeCell ref="E4:E5"/>
    <mergeCell ref="F4:G4"/>
    <mergeCell ref="H4:H5"/>
    <mergeCell ref="I4:K4"/>
    <mergeCell ref="L4:L5"/>
  </mergeCells>
  <printOptions horizontalCentered="1"/>
  <pageMargins left="0.23622047244094491" right="0.23622047244094491" top="0.47244094488188981" bottom="0.74803149606299213" header="0.51181102362204722" footer="0.31496062992125984"/>
  <pageSetup paperSize="9" scale="28" fitToHeight="0" orientation="landscape" r:id="rId1"/>
  <headerFooter>
    <oddFooter>&amp;C&amp;24หน้าที่ &amp;P จาก &amp;N</oddFooter>
  </headerFooter>
  <rowBreaks count="14" manualBreakCount="14">
    <brk id="19" max="13" man="1"/>
    <brk id="35" max="13" man="1"/>
    <brk id="47" max="13" man="1"/>
    <brk id="65" max="13" man="1"/>
    <brk id="81" max="13" man="1"/>
    <brk id="97" max="13" man="1"/>
    <brk id="114" max="13" man="1"/>
    <brk id="125" max="13" man="1"/>
    <brk id="141" max="13" man="1"/>
    <brk id="153" max="13" man="1"/>
    <brk id="162" max="13" man="1"/>
    <brk id="188" max="13" man="1"/>
    <brk id="199" max="13" man="1"/>
    <brk id="215" max="1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K41"/>
  <sheetViews>
    <sheetView view="pageBreakPreview" zoomScale="80" zoomScaleNormal="99" zoomScaleSheetLayoutView="80" workbookViewId="0">
      <pane xSplit="2" ySplit="6" topLeftCell="F7" activePane="bottomRight" state="frozen"/>
      <selection pane="topRight" activeCell="C1" sqref="C1"/>
      <selection pane="bottomLeft" activeCell="A7" sqref="A7"/>
      <selection pane="bottomRight" activeCell="A32" sqref="A32:XFD37"/>
    </sheetView>
  </sheetViews>
  <sheetFormatPr defaultColWidth="9" defaultRowHeight="23.25" outlineLevelCol="1"/>
  <cols>
    <col min="1" max="1" width="9.85546875" style="16" customWidth="1"/>
    <col min="2" max="2" width="71.7109375" style="22" customWidth="1"/>
    <col min="3" max="3" width="19.7109375" style="21" customWidth="1"/>
    <col min="4" max="5" width="18.7109375" style="19" customWidth="1" outlineLevel="1"/>
    <col min="6" max="6" width="19.140625" style="19" customWidth="1"/>
    <col min="7" max="7" width="17.42578125" style="20" customWidth="1"/>
    <col min="8" max="8" width="17.5703125" style="20" bestFit="1" customWidth="1"/>
    <col min="9" max="9" width="18.28515625" style="19" customWidth="1"/>
    <col min="10" max="10" width="0.140625" style="16" customWidth="1"/>
    <col min="11" max="11" width="0.140625" customWidth="1"/>
    <col min="12" max="12" width="38.5703125" customWidth="1"/>
    <col min="13" max="28" width="17.42578125" style="18" hidden="1" customWidth="1"/>
    <col min="29" max="29" width="17.42578125" style="17" hidden="1" customWidth="1"/>
    <col min="30" max="30" width="17.42578125" style="18" hidden="1" customWidth="1"/>
    <col min="31" max="31" width="17.42578125" style="17" hidden="1" customWidth="1"/>
    <col min="32" max="32" width="17.42578125" style="18" hidden="1" customWidth="1"/>
    <col min="33" max="35" width="17.42578125" style="17" hidden="1" customWidth="1"/>
    <col min="36" max="36" width="17.42578125" style="18" hidden="1" customWidth="1"/>
    <col min="37" max="37" width="9" style="18"/>
    <col min="38" max="16384" width="9" style="16"/>
  </cols>
  <sheetData>
    <row r="1" spans="1:37" ht="26.25" customHeight="1">
      <c r="A1" s="540" t="s">
        <v>503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</row>
    <row r="2" spans="1:37" ht="26.25" customHeight="1">
      <c r="A2" s="540"/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</row>
    <row r="3" spans="1:37" ht="27.75" customHeight="1">
      <c r="A3" s="539"/>
      <c r="B3" s="539"/>
      <c r="C3" s="539"/>
      <c r="D3" s="539"/>
      <c r="E3" s="539"/>
      <c r="F3" s="539"/>
      <c r="G3" s="539"/>
      <c r="H3" s="539"/>
      <c r="I3" s="539"/>
      <c r="J3" s="539"/>
      <c r="K3" s="539"/>
      <c r="L3" s="486"/>
    </row>
    <row r="4" spans="1:37" s="65" customFormat="1" ht="18" customHeight="1">
      <c r="A4" s="548" t="s">
        <v>135</v>
      </c>
      <c r="B4" s="548" t="s">
        <v>109</v>
      </c>
      <c r="C4" s="548" t="s">
        <v>110</v>
      </c>
      <c r="D4" s="547" t="s">
        <v>2</v>
      </c>
      <c r="E4" s="547" t="s">
        <v>1</v>
      </c>
      <c r="F4" s="549" t="s">
        <v>142</v>
      </c>
      <c r="G4" s="551" t="s">
        <v>32</v>
      </c>
      <c r="H4" s="551" t="s">
        <v>24</v>
      </c>
      <c r="I4" s="547" t="s">
        <v>133</v>
      </c>
      <c r="K4"/>
      <c r="L4" s="547" t="s">
        <v>29</v>
      </c>
      <c r="M4" s="542">
        <v>22555</v>
      </c>
      <c r="N4" s="542"/>
      <c r="O4" s="542">
        <v>22586</v>
      </c>
      <c r="P4" s="542"/>
      <c r="Q4" s="542">
        <v>22616</v>
      </c>
      <c r="R4" s="542"/>
      <c r="S4" s="542">
        <v>22647</v>
      </c>
      <c r="T4" s="542"/>
      <c r="U4" s="542">
        <v>22678</v>
      </c>
      <c r="V4" s="542"/>
      <c r="W4" s="542">
        <v>22706</v>
      </c>
      <c r="X4" s="542"/>
      <c r="Y4" s="542">
        <v>22737</v>
      </c>
      <c r="Z4" s="542"/>
      <c r="AA4" s="542">
        <v>22767</v>
      </c>
      <c r="AB4" s="542"/>
      <c r="AC4" s="542">
        <v>22798</v>
      </c>
      <c r="AD4" s="542"/>
      <c r="AE4" s="542">
        <v>22828</v>
      </c>
      <c r="AF4" s="542"/>
      <c r="AG4" s="542">
        <v>22859</v>
      </c>
      <c r="AH4" s="542"/>
      <c r="AI4" s="542">
        <v>22890</v>
      </c>
      <c r="AJ4" s="542"/>
      <c r="AK4" s="110"/>
    </row>
    <row r="5" spans="1:37" s="65" customFormat="1">
      <c r="A5" s="548"/>
      <c r="B5" s="548"/>
      <c r="C5" s="548"/>
      <c r="D5" s="547"/>
      <c r="E5" s="547"/>
      <c r="F5" s="550"/>
      <c r="G5" s="552"/>
      <c r="H5" s="552"/>
      <c r="I5" s="547"/>
      <c r="K5"/>
      <c r="L5" s="547"/>
      <c r="M5" s="67" t="s">
        <v>2</v>
      </c>
      <c r="N5" s="67" t="s">
        <v>1</v>
      </c>
      <c r="O5" s="67" t="s">
        <v>2</v>
      </c>
      <c r="P5" s="67" t="s">
        <v>1</v>
      </c>
      <c r="Q5" s="67" t="s">
        <v>2</v>
      </c>
      <c r="R5" s="67" t="s">
        <v>1</v>
      </c>
      <c r="S5" s="67" t="s">
        <v>2</v>
      </c>
      <c r="T5" s="67" t="s">
        <v>1</v>
      </c>
      <c r="U5" s="67" t="s">
        <v>2</v>
      </c>
      <c r="V5" s="67" t="s">
        <v>1</v>
      </c>
      <c r="W5" s="67" t="s">
        <v>2</v>
      </c>
      <c r="X5" s="67" t="s">
        <v>1</v>
      </c>
      <c r="Y5" s="67" t="s">
        <v>2</v>
      </c>
      <c r="Z5" s="67" t="s">
        <v>1</v>
      </c>
      <c r="AA5" s="67" t="s">
        <v>2</v>
      </c>
      <c r="AB5" s="67" t="s">
        <v>1</v>
      </c>
      <c r="AC5" s="66" t="s">
        <v>2</v>
      </c>
      <c r="AD5" s="67" t="s">
        <v>1</v>
      </c>
      <c r="AE5" s="66" t="s">
        <v>2</v>
      </c>
      <c r="AF5" s="67" t="s">
        <v>1</v>
      </c>
      <c r="AG5" s="66" t="s">
        <v>2</v>
      </c>
      <c r="AH5" s="66" t="s">
        <v>1</v>
      </c>
      <c r="AI5" s="66" t="s">
        <v>2</v>
      </c>
      <c r="AJ5" s="67" t="s">
        <v>1</v>
      </c>
      <c r="AK5" s="110"/>
    </row>
    <row r="6" spans="1:37" s="65" customFormat="1" ht="30" customHeight="1">
      <c r="A6" s="543" t="s">
        <v>391</v>
      </c>
      <c r="B6" s="544"/>
      <c r="C6" s="544"/>
      <c r="D6" s="111"/>
      <c r="E6" s="111"/>
      <c r="F6" s="111"/>
      <c r="G6" s="112"/>
      <c r="H6" s="112"/>
      <c r="I6" s="113"/>
      <c r="K6"/>
      <c r="L6" s="489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3"/>
      <c r="AD6" s="64"/>
      <c r="AE6" s="63"/>
      <c r="AF6" s="64"/>
      <c r="AG6" s="63"/>
      <c r="AH6" s="63"/>
      <c r="AI6" s="63"/>
      <c r="AJ6" s="64"/>
      <c r="AK6" s="110"/>
    </row>
    <row r="7" spans="1:37" s="65" customFormat="1" ht="30" customHeight="1">
      <c r="A7" s="543" t="s">
        <v>111</v>
      </c>
      <c r="B7" s="543"/>
      <c r="C7" s="114"/>
      <c r="D7" s="113"/>
      <c r="E7" s="113"/>
      <c r="F7" s="113"/>
      <c r="G7" s="112"/>
      <c r="H7" s="112"/>
      <c r="I7" s="113"/>
      <c r="K7"/>
      <c r="L7" s="489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3"/>
      <c r="AD7" s="64"/>
      <c r="AE7" s="63"/>
      <c r="AF7" s="64"/>
      <c r="AG7" s="63"/>
      <c r="AH7" s="63"/>
      <c r="AI7" s="63"/>
      <c r="AJ7" s="64"/>
      <c r="AK7" s="110"/>
    </row>
    <row r="8" spans="1:37" s="21" customFormat="1" ht="26.25" customHeight="1">
      <c r="A8" s="115">
        <v>1</v>
      </c>
      <c r="B8" s="116" t="s">
        <v>112</v>
      </c>
      <c r="C8" s="117"/>
      <c r="D8" s="118"/>
      <c r="E8" s="118">
        <f>E10</f>
        <v>5000000</v>
      </c>
      <c r="F8" s="118">
        <f>F10:F10</f>
        <v>5000000</v>
      </c>
      <c r="G8" s="119"/>
      <c r="H8" s="119">
        <f>H10</f>
        <v>4790000</v>
      </c>
      <c r="I8" s="119">
        <f>I10</f>
        <v>210000</v>
      </c>
      <c r="K8"/>
      <c r="L8" s="495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24"/>
      <c r="AD8" s="56"/>
      <c r="AE8" s="24"/>
      <c r="AF8" s="56"/>
      <c r="AG8" s="24"/>
      <c r="AH8" s="24"/>
      <c r="AI8" s="24"/>
      <c r="AJ8" s="56"/>
      <c r="AK8" s="102"/>
    </row>
    <row r="9" spans="1:37" s="26" customFormat="1">
      <c r="A9" s="28"/>
      <c r="B9" s="470" t="s">
        <v>113</v>
      </c>
      <c r="C9" s="51"/>
      <c r="D9" s="50"/>
      <c r="E9" s="50"/>
      <c r="F9" s="50"/>
      <c r="G9" s="27"/>
      <c r="H9" s="27"/>
      <c r="I9" s="146"/>
      <c r="K9" s="469"/>
      <c r="L9" s="491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7"/>
      <c r="AD9" s="28"/>
      <c r="AE9" s="27"/>
      <c r="AF9" s="28"/>
      <c r="AG9" s="27"/>
      <c r="AH9" s="27"/>
      <c r="AI9" s="27"/>
      <c r="AJ9" s="28"/>
      <c r="AK9" s="103"/>
    </row>
    <row r="10" spans="1:37" s="77" customFormat="1" ht="69.75">
      <c r="A10" s="78"/>
      <c r="B10" s="52" t="s">
        <v>441</v>
      </c>
      <c r="C10" s="51" t="s">
        <v>143</v>
      </c>
      <c r="D10" s="50"/>
      <c r="E10" s="50">
        <v>5000000</v>
      </c>
      <c r="F10" s="50">
        <v>5000000</v>
      </c>
      <c r="G10" s="135">
        <f>'เบิกจ่าย งบปี 62'!I127</f>
        <v>0</v>
      </c>
      <c r="H10" s="30">
        <f>F10-G10-I10</f>
        <v>4790000</v>
      </c>
      <c r="I10" s="29">
        <f>'เบิกจ่าย งบปี 62'!M127</f>
        <v>210000</v>
      </c>
      <c r="K10" s="469"/>
      <c r="L10" s="498" t="s">
        <v>467</v>
      </c>
      <c r="M10" s="55"/>
      <c r="N10" s="109"/>
      <c r="O10" s="55"/>
      <c r="P10" s="109"/>
      <c r="Q10" s="55"/>
      <c r="R10" s="55"/>
      <c r="S10" s="55"/>
      <c r="T10" s="55"/>
      <c r="U10" s="55"/>
      <c r="V10" s="109"/>
      <c r="W10" s="54"/>
      <c r="X10" s="109"/>
      <c r="Y10" s="54"/>
      <c r="Z10" s="109"/>
      <c r="AA10" s="55"/>
      <c r="AB10" s="109"/>
      <c r="AC10" s="54"/>
      <c r="AD10" s="109"/>
      <c r="AE10" s="54"/>
      <c r="AF10" s="109"/>
      <c r="AG10" s="54"/>
      <c r="AH10" s="54"/>
      <c r="AI10" s="54"/>
      <c r="AJ10" s="109"/>
      <c r="AK10" s="98"/>
    </row>
    <row r="11" spans="1:37" s="77" customFormat="1">
      <c r="A11" s="123">
        <v>2</v>
      </c>
      <c r="B11" s="124" t="s">
        <v>114</v>
      </c>
      <c r="C11" s="125"/>
      <c r="D11" s="126">
        <f t="shared" ref="D11:I11" si="0">SUM(D13:D24)</f>
        <v>28730145</v>
      </c>
      <c r="E11" s="126">
        <f t="shared" si="0"/>
        <v>985500</v>
      </c>
      <c r="F11" s="126">
        <f t="shared" si="0"/>
        <v>29715645</v>
      </c>
      <c r="G11" s="126">
        <f t="shared" si="0"/>
        <v>12650361.42</v>
      </c>
      <c r="H11" s="126">
        <f t="shared" si="0"/>
        <v>16754395</v>
      </c>
      <c r="I11" s="126">
        <f t="shared" si="0"/>
        <v>310888.58000000007</v>
      </c>
      <c r="K11" s="469"/>
      <c r="L11" s="496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4"/>
      <c r="AD11" s="55"/>
      <c r="AE11" s="54"/>
      <c r="AF11" s="55"/>
      <c r="AG11" s="54"/>
      <c r="AH11" s="54"/>
      <c r="AI11" s="54"/>
      <c r="AJ11" s="55"/>
      <c r="AK11" s="98"/>
    </row>
    <row r="12" spans="1:37" s="26" customFormat="1" ht="50.25" customHeight="1">
      <c r="A12" s="28"/>
      <c r="B12" s="545" t="s">
        <v>440</v>
      </c>
      <c r="C12" s="545"/>
      <c r="D12" s="75"/>
      <c r="E12" s="75"/>
      <c r="F12" s="75"/>
      <c r="G12" s="27"/>
      <c r="H12" s="27"/>
      <c r="I12" s="146"/>
      <c r="K12" s="469"/>
      <c r="L12" s="491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7"/>
      <c r="AD12" s="28"/>
      <c r="AE12" s="27"/>
      <c r="AF12" s="28"/>
      <c r="AG12" s="27"/>
      <c r="AH12" s="27"/>
      <c r="AI12" s="27"/>
      <c r="AJ12" s="28"/>
      <c r="AK12" s="103"/>
    </row>
    <row r="13" spans="1:37" s="62" customFormat="1">
      <c r="A13" s="34"/>
      <c r="B13" s="52" t="s">
        <v>144</v>
      </c>
      <c r="C13" s="15" t="s">
        <v>23</v>
      </c>
      <c r="D13" s="50">
        <v>10000000</v>
      </c>
      <c r="E13" s="50"/>
      <c r="F13" s="50">
        <v>10000000</v>
      </c>
      <c r="G13" s="136">
        <f t="shared" ref="G13:G15" si="1">SUM(M13:Z13)</f>
        <v>9889211.4199999999</v>
      </c>
      <c r="H13" s="57">
        <f>F13-G13-I13</f>
        <v>0</v>
      </c>
      <c r="I13" s="50">
        <v>110788.58000000007</v>
      </c>
      <c r="K13" s="469"/>
      <c r="L13" s="498" t="s">
        <v>238</v>
      </c>
      <c r="M13" s="34"/>
      <c r="N13" s="34"/>
      <c r="O13" s="34"/>
      <c r="P13" s="34"/>
      <c r="Q13" s="30">
        <f>20000+15000+103000+6000+26200+29800+200000+945000</f>
        <v>1345000</v>
      </c>
      <c r="R13" s="109"/>
      <c r="S13" s="54">
        <f>100000+35099.42+9112+8400000</f>
        <v>8544211.4199999999</v>
      </c>
      <c r="T13" s="109"/>
      <c r="U13" s="54"/>
      <c r="V13" s="34"/>
      <c r="W13" s="34"/>
      <c r="X13" s="34"/>
      <c r="Y13" s="30"/>
      <c r="Z13" s="34"/>
      <c r="AA13" s="34"/>
      <c r="AB13" s="34"/>
      <c r="AC13" s="30"/>
      <c r="AD13" s="34"/>
      <c r="AE13" s="30"/>
      <c r="AF13" s="34"/>
      <c r="AG13" s="30"/>
      <c r="AH13" s="30"/>
      <c r="AI13" s="30"/>
      <c r="AJ13" s="34"/>
      <c r="AK13" s="108"/>
    </row>
    <row r="14" spans="1:37" s="26" customFormat="1" ht="37.5">
      <c r="A14" s="34"/>
      <c r="B14" s="52" t="s">
        <v>141</v>
      </c>
      <c r="C14" s="15" t="s">
        <v>431</v>
      </c>
      <c r="D14" s="29">
        <v>3600000</v>
      </c>
      <c r="E14" s="50"/>
      <c r="F14" s="50">
        <f>D14</f>
        <v>3600000</v>
      </c>
      <c r="G14" s="136">
        <f t="shared" si="1"/>
        <v>0</v>
      </c>
      <c r="H14" s="30">
        <f>F14-G14-I14</f>
        <v>3550000</v>
      </c>
      <c r="I14" s="29">
        <v>50000</v>
      </c>
      <c r="K14" s="469"/>
      <c r="L14" s="498" t="s">
        <v>468</v>
      </c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7"/>
      <c r="X14" s="28"/>
      <c r="Y14" s="28"/>
      <c r="Z14" s="28"/>
      <c r="AA14" s="28"/>
      <c r="AB14" s="28"/>
      <c r="AC14" s="27"/>
      <c r="AD14" s="28"/>
      <c r="AE14" s="27"/>
      <c r="AF14" s="28"/>
      <c r="AG14" s="27"/>
      <c r="AH14" s="27"/>
      <c r="AI14" s="27"/>
      <c r="AJ14" s="28"/>
      <c r="AK14" s="103"/>
    </row>
    <row r="15" spans="1:37" s="26" customFormat="1" ht="56.25">
      <c r="A15" s="34"/>
      <c r="B15" s="52" t="s">
        <v>145</v>
      </c>
      <c r="C15" s="51" t="s">
        <v>42</v>
      </c>
      <c r="D15" s="50">
        <v>1703500</v>
      </c>
      <c r="E15" s="50"/>
      <c r="F15" s="50">
        <v>1703500</v>
      </c>
      <c r="G15" s="136">
        <f t="shared" si="1"/>
        <v>0</v>
      </c>
      <c r="H15" s="30">
        <f t="shared" ref="H15:H17" si="2">F15-G15-I15</f>
        <v>1703500</v>
      </c>
      <c r="I15" s="50"/>
      <c r="K15" s="469"/>
      <c r="L15" s="498" t="s">
        <v>469</v>
      </c>
      <c r="M15" s="28"/>
      <c r="N15" s="28"/>
      <c r="O15" s="28"/>
      <c r="P15" s="28"/>
      <c r="Q15" s="28"/>
      <c r="R15" s="28"/>
      <c r="S15" s="28"/>
      <c r="T15" s="28"/>
      <c r="U15" s="27"/>
      <c r="V15" s="28"/>
      <c r="W15" s="107"/>
      <c r="X15" s="28"/>
      <c r="Y15" s="28"/>
      <c r="Z15" s="28"/>
      <c r="AA15" s="28"/>
      <c r="AB15" s="28"/>
      <c r="AC15" s="27"/>
      <c r="AD15" s="28"/>
      <c r="AE15" s="27"/>
      <c r="AF15" s="28"/>
      <c r="AG15" s="27"/>
      <c r="AH15" s="27"/>
      <c r="AI15" s="27"/>
      <c r="AJ15" s="28"/>
      <c r="AK15" s="103"/>
    </row>
    <row r="16" spans="1:37" s="26" customFormat="1" ht="206.25">
      <c r="A16" s="34"/>
      <c r="B16" s="52" t="s">
        <v>146</v>
      </c>
      <c r="C16" s="15" t="s">
        <v>431</v>
      </c>
      <c r="D16" s="50">
        <v>7000000</v>
      </c>
      <c r="E16" s="106"/>
      <c r="F16" s="50">
        <v>7000000</v>
      </c>
      <c r="G16" s="136">
        <f>SUM(M16:Z16)</f>
        <v>0</v>
      </c>
      <c r="H16" s="30">
        <f t="shared" si="2"/>
        <v>7000000</v>
      </c>
      <c r="I16" s="50"/>
      <c r="J16" s="105"/>
      <c r="K16" s="469"/>
      <c r="L16" s="498" t="s">
        <v>470</v>
      </c>
      <c r="M16" s="28"/>
      <c r="N16" s="28"/>
      <c r="O16" s="28"/>
      <c r="P16" s="28"/>
      <c r="Q16" s="28"/>
      <c r="R16" s="28"/>
      <c r="S16" s="28"/>
      <c r="T16" s="28"/>
      <c r="U16" s="27"/>
      <c r="V16" s="28"/>
      <c r="W16" s="28"/>
      <c r="X16" s="28"/>
      <c r="Y16" s="27"/>
      <c r="Z16" s="28"/>
      <c r="AA16" s="27"/>
      <c r="AB16" s="28"/>
      <c r="AC16" s="27"/>
      <c r="AD16" s="28"/>
      <c r="AE16" s="27"/>
      <c r="AF16" s="28"/>
      <c r="AG16" s="27"/>
      <c r="AH16" s="27"/>
      <c r="AI16" s="27"/>
      <c r="AJ16" s="28"/>
      <c r="AK16" s="103"/>
    </row>
    <row r="17" spans="1:37" s="26" customFormat="1" ht="46.5">
      <c r="A17" s="34"/>
      <c r="B17" s="52" t="s">
        <v>394</v>
      </c>
      <c r="C17" s="76" t="s">
        <v>147</v>
      </c>
      <c r="D17" s="50">
        <v>2500000</v>
      </c>
      <c r="E17" s="104"/>
      <c r="F17" s="50">
        <v>2500000</v>
      </c>
      <c r="G17" s="136">
        <f>SUM(M17:Z17)</f>
        <v>1199950</v>
      </c>
      <c r="H17" s="30">
        <f t="shared" si="2"/>
        <v>1199950</v>
      </c>
      <c r="I17" s="50">
        <v>100100</v>
      </c>
      <c r="K17" s="469"/>
      <c r="L17" s="498" t="s">
        <v>238</v>
      </c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7">
        <f>1199950</f>
        <v>1199950</v>
      </c>
      <c r="X17" s="28"/>
      <c r="Y17" s="27"/>
      <c r="Z17" s="28"/>
      <c r="AA17" s="28"/>
      <c r="AB17" s="28"/>
      <c r="AC17" s="27"/>
      <c r="AD17" s="28"/>
      <c r="AE17" s="27"/>
      <c r="AF17" s="28"/>
      <c r="AG17" s="27"/>
      <c r="AH17" s="27"/>
      <c r="AI17" s="27"/>
      <c r="AJ17" s="28"/>
      <c r="AK17" s="103"/>
    </row>
    <row r="18" spans="1:37" s="26" customFormat="1" ht="37.5">
      <c r="A18" s="34"/>
      <c r="B18" s="52" t="s">
        <v>148</v>
      </c>
      <c r="C18" s="15" t="s">
        <v>431</v>
      </c>
      <c r="D18" s="50">
        <v>602100</v>
      </c>
      <c r="E18" s="50"/>
      <c r="F18" s="50">
        <v>602100</v>
      </c>
      <c r="G18" s="136">
        <f t="shared" ref="G18:G24" si="3">SUM(M18:Z18)</f>
        <v>205200</v>
      </c>
      <c r="H18" s="57">
        <f t="shared" ref="H18" si="4">F18-G18</f>
        <v>396900</v>
      </c>
      <c r="I18" s="50"/>
      <c r="K18" s="469"/>
      <c r="L18" s="498" t="s">
        <v>471</v>
      </c>
      <c r="M18" s="28"/>
      <c r="N18" s="28"/>
      <c r="O18" s="28"/>
      <c r="P18" s="28"/>
      <c r="Q18" s="28"/>
      <c r="R18" s="28"/>
      <c r="S18" s="27">
        <f>150000</f>
        <v>150000</v>
      </c>
      <c r="T18" s="28"/>
      <c r="U18" s="27"/>
      <c r="V18" s="28"/>
      <c r="W18" s="27">
        <f>1200+18000+36000</f>
        <v>55200</v>
      </c>
      <c r="X18" s="28"/>
      <c r="Y18" s="28"/>
      <c r="Z18" s="28"/>
      <c r="AA18" s="27"/>
      <c r="AB18" s="28"/>
      <c r="AC18" s="27"/>
      <c r="AD18" s="28"/>
      <c r="AE18" s="27"/>
      <c r="AF18" s="28"/>
      <c r="AG18" s="27"/>
      <c r="AH18" s="27"/>
      <c r="AI18" s="27"/>
      <c r="AJ18" s="28"/>
      <c r="AK18" s="103"/>
    </row>
    <row r="19" spans="1:37" s="26" customFormat="1" ht="46.5">
      <c r="A19" s="28"/>
      <c r="B19" s="52" t="s">
        <v>432</v>
      </c>
      <c r="C19" s="51" t="s">
        <v>140</v>
      </c>
      <c r="D19" s="50">
        <v>1240000</v>
      </c>
      <c r="E19" s="50"/>
      <c r="F19" s="50">
        <v>1240000</v>
      </c>
      <c r="G19" s="136">
        <v>1190000</v>
      </c>
      <c r="H19" s="57">
        <f>F19-G19-I19</f>
        <v>0</v>
      </c>
      <c r="I19" s="50">
        <v>50000</v>
      </c>
      <c r="K19" s="469"/>
      <c r="L19" s="498" t="s">
        <v>238</v>
      </c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7"/>
      <c r="X19" s="28"/>
      <c r="Y19" s="28"/>
      <c r="Z19" s="28"/>
      <c r="AA19" s="28"/>
      <c r="AB19" s="28"/>
      <c r="AC19" s="27"/>
      <c r="AD19" s="28"/>
      <c r="AE19" s="27"/>
      <c r="AF19" s="28"/>
      <c r="AG19" s="27"/>
      <c r="AH19" s="27"/>
      <c r="AI19" s="27"/>
      <c r="AJ19" s="28"/>
      <c r="AK19" s="103"/>
    </row>
    <row r="20" spans="1:37" s="26" customFormat="1" ht="112.5">
      <c r="A20" s="28"/>
      <c r="B20" s="141" t="s">
        <v>433</v>
      </c>
      <c r="C20" s="144" t="s">
        <v>127</v>
      </c>
      <c r="D20" s="50">
        <v>200000</v>
      </c>
      <c r="E20" s="50"/>
      <c r="F20" s="50">
        <v>200000</v>
      </c>
      <c r="G20" s="136">
        <v>80000</v>
      </c>
      <c r="H20" s="57">
        <f t="shared" ref="H20:H21" si="5">F20-G20</f>
        <v>120000</v>
      </c>
      <c r="I20" s="50"/>
      <c r="K20" s="469"/>
      <c r="L20" s="498" t="s">
        <v>472</v>
      </c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7"/>
      <c r="AD20" s="28"/>
      <c r="AE20" s="27"/>
      <c r="AF20" s="28"/>
      <c r="AG20" s="27"/>
      <c r="AH20" s="27"/>
      <c r="AI20" s="27"/>
      <c r="AJ20" s="28"/>
      <c r="AK20" s="103"/>
    </row>
    <row r="21" spans="1:37" s="26" customFormat="1" ht="46.5">
      <c r="A21" s="28"/>
      <c r="B21" s="143" t="s">
        <v>434</v>
      </c>
      <c r="C21" s="138" t="s">
        <v>42</v>
      </c>
      <c r="D21" s="50">
        <v>454545</v>
      </c>
      <c r="E21" s="50"/>
      <c r="F21" s="50">
        <v>454545</v>
      </c>
      <c r="G21" s="136">
        <f t="shared" si="3"/>
        <v>0</v>
      </c>
      <c r="H21" s="57">
        <f t="shared" si="5"/>
        <v>454545</v>
      </c>
      <c r="I21" s="50"/>
      <c r="K21" s="469"/>
      <c r="L21" s="498" t="s">
        <v>473</v>
      </c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7"/>
      <c r="AD21" s="28"/>
      <c r="AE21" s="27"/>
      <c r="AF21" s="28"/>
      <c r="AG21" s="27"/>
      <c r="AH21" s="27"/>
      <c r="AI21" s="27"/>
      <c r="AJ21" s="28"/>
      <c r="AK21" s="103"/>
    </row>
    <row r="22" spans="1:37" s="26" customFormat="1" ht="46.5">
      <c r="A22" s="28"/>
      <c r="B22" s="143" t="s">
        <v>435</v>
      </c>
      <c r="C22" s="138" t="s">
        <v>127</v>
      </c>
      <c r="D22" s="50">
        <v>1000000</v>
      </c>
      <c r="E22" s="50"/>
      <c r="F22" s="50">
        <v>1000000</v>
      </c>
      <c r="G22" s="136">
        <f t="shared" si="3"/>
        <v>0</v>
      </c>
      <c r="H22" s="57">
        <f t="shared" ref="H22:H24" si="6">F22-G22</f>
        <v>1000000</v>
      </c>
      <c r="I22" s="50"/>
      <c r="K22" s="469"/>
      <c r="L22" s="498" t="s">
        <v>474</v>
      </c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7"/>
      <c r="AD22" s="28"/>
      <c r="AE22" s="27"/>
      <c r="AF22" s="28"/>
      <c r="AG22" s="27"/>
      <c r="AH22" s="27"/>
      <c r="AI22" s="27"/>
      <c r="AJ22" s="28"/>
      <c r="AK22" s="103"/>
    </row>
    <row r="23" spans="1:37" s="26" customFormat="1" ht="131.25">
      <c r="A23" s="28"/>
      <c r="B23" s="143" t="s">
        <v>436</v>
      </c>
      <c r="C23" s="138" t="s">
        <v>127</v>
      </c>
      <c r="D23" s="50">
        <v>430000</v>
      </c>
      <c r="E23" s="50"/>
      <c r="F23" s="50">
        <v>430000</v>
      </c>
      <c r="G23" s="136">
        <v>86000</v>
      </c>
      <c r="H23" s="57">
        <f t="shared" si="6"/>
        <v>344000</v>
      </c>
      <c r="I23" s="50"/>
      <c r="K23" s="469"/>
      <c r="L23" s="498" t="s">
        <v>475</v>
      </c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7"/>
      <c r="AD23" s="28"/>
      <c r="AE23" s="27"/>
      <c r="AF23" s="28"/>
      <c r="AG23" s="27"/>
      <c r="AH23" s="27"/>
      <c r="AI23" s="27"/>
      <c r="AJ23" s="28"/>
      <c r="AK23" s="103"/>
    </row>
    <row r="24" spans="1:37" s="26" customFormat="1" ht="56.25">
      <c r="A24" s="28"/>
      <c r="B24" s="143" t="s">
        <v>437</v>
      </c>
      <c r="C24" s="138" t="s">
        <v>438</v>
      </c>
      <c r="D24" s="50"/>
      <c r="E24" s="50">
        <v>985500</v>
      </c>
      <c r="F24" s="50">
        <v>985500</v>
      </c>
      <c r="G24" s="136">
        <f t="shared" si="3"/>
        <v>0</v>
      </c>
      <c r="H24" s="57">
        <f t="shared" si="6"/>
        <v>985500</v>
      </c>
      <c r="I24" s="50"/>
      <c r="K24" s="469"/>
      <c r="L24" s="498" t="s">
        <v>476</v>
      </c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7"/>
      <c r="AD24" s="28"/>
      <c r="AE24" s="27"/>
      <c r="AF24" s="28"/>
      <c r="AG24" s="27"/>
      <c r="AH24" s="27"/>
      <c r="AI24" s="27"/>
      <c r="AJ24" s="28"/>
      <c r="AK24" s="103"/>
    </row>
    <row r="25" spans="1:37">
      <c r="A25" s="115">
        <v>3</v>
      </c>
      <c r="B25" s="116" t="s">
        <v>116</v>
      </c>
      <c r="C25" s="121"/>
      <c r="D25" s="118">
        <f>SUM(D27:D29)</f>
        <v>4735900</v>
      </c>
      <c r="E25" s="118">
        <f>E27+E29</f>
        <v>0</v>
      </c>
      <c r="F25" s="118">
        <f>F27+F28+F29</f>
        <v>4735900</v>
      </c>
      <c r="G25" s="119"/>
      <c r="H25" s="119">
        <f>F25-G25</f>
        <v>4735900</v>
      </c>
      <c r="I25" s="120"/>
      <c r="L25" s="49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35"/>
      <c r="AD25" s="25"/>
      <c r="AE25" s="35"/>
      <c r="AF25" s="25"/>
      <c r="AG25" s="35"/>
      <c r="AH25" s="35"/>
      <c r="AI25" s="35"/>
      <c r="AJ25" s="25"/>
    </row>
    <row r="26" spans="1:37">
      <c r="A26" s="25"/>
      <c r="B26" s="53" t="s">
        <v>149</v>
      </c>
      <c r="C26" s="48"/>
      <c r="D26" s="60"/>
      <c r="E26" s="60"/>
      <c r="F26" s="60"/>
      <c r="G26" s="35"/>
      <c r="H26" s="35"/>
      <c r="I26" s="46"/>
      <c r="L26" s="490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35"/>
      <c r="AD26" s="25"/>
      <c r="AE26" s="35"/>
      <c r="AF26" s="25"/>
      <c r="AG26" s="35"/>
      <c r="AH26" s="35"/>
      <c r="AI26" s="35"/>
      <c r="AJ26" s="25"/>
    </row>
    <row r="27" spans="1:37" s="77" customFormat="1" ht="37.5">
      <c r="A27" s="78"/>
      <c r="B27" s="33" t="s">
        <v>150</v>
      </c>
      <c r="C27" s="32" t="s">
        <v>151</v>
      </c>
      <c r="D27" s="29">
        <v>2500000</v>
      </c>
      <c r="E27" s="29"/>
      <c r="F27" s="29">
        <v>2500000</v>
      </c>
      <c r="G27" s="136">
        <f>'เบิกจ่าย งบปี 62'!I138</f>
        <v>0</v>
      </c>
      <c r="H27" s="30">
        <f>F27-G27</f>
        <v>2500000</v>
      </c>
      <c r="I27" s="29"/>
      <c r="K27" s="469"/>
      <c r="L27" s="498" t="s">
        <v>347</v>
      </c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4"/>
      <c r="AD27" s="55"/>
      <c r="AE27" s="54"/>
      <c r="AF27" s="55"/>
      <c r="AG27" s="54"/>
      <c r="AH27" s="54"/>
      <c r="AI27" s="54"/>
      <c r="AJ27" s="55"/>
      <c r="AK27" s="98"/>
    </row>
    <row r="28" spans="1:37" s="77" customFormat="1" ht="37.5">
      <c r="A28" s="55"/>
      <c r="B28" s="141" t="s">
        <v>152</v>
      </c>
      <c r="C28" s="138" t="s">
        <v>143</v>
      </c>
      <c r="D28" s="142">
        <v>1235900</v>
      </c>
      <c r="E28" s="142"/>
      <c r="F28" s="142">
        <v>1235900</v>
      </c>
      <c r="G28" s="136">
        <f>'เบิกจ่าย งบปี 62'!I139</f>
        <v>0</v>
      </c>
      <c r="H28" s="30">
        <f t="shared" ref="H28:H29" si="7">F28-G28</f>
        <v>1235900</v>
      </c>
      <c r="I28" s="31"/>
      <c r="K28" s="469"/>
      <c r="L28" s="498" t="s">
        <v>477</v>
      </c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4"/>
      <c r="AD28" s="55"/>
      <c r="AE28" s="54"/>
      <c r="AF28" s="55"/>
      <c r="AG28" s="54"/>
      <c r="AH28" s="54"/>
      <c r="AI28" s="54"/>
      <c r="AJ28" s="55"/>
      <c r="AK28" s="98"/>
    </row>
    <row r="29" spans="1:37" s="77" customFormat="1">
      <c r="A29" s="78"/>
      <c r="B29" s="141" t="s">
        <v>153</v>
      </c>
      <c r="C29" s="157" t="s">
        <v>154</v>
      </c>
      <c r="D29" s="142">
        <v>1000000</v>
      </c>
      <c r="E29" s="142"/>
      <c r="F29" s="142">
        <v>1000000</v>
      </c>
      <c r="G29" s="136">
        <f>'เบิกจ่าย งบปี 62'!I140</f>
        <v>0</v>
      </c>
      <c r="H29" s="30">
        <f t="shared" si="7"/>
        <v>1000000</v>
      </c>
      <c r="I29" s="29"/>
      <c r="K29" s="469"/>
      <c r="L29" s="498" t="s">
        <v>404</v>
      </c>
      <c r="M29" s="55"/>
      <c r="N29" s="55"/>
      <c r="O29" s="55"/>
      <c r="P29" s="55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100"/>
      <c r="AD29" s="54"/>
      <c r="AE29" s="100"/>
      <c r="AF29" s="99"/>
      <c r="AG29" s="100"/>
      <c r="AH29" s="100"/>
      <c r="AI29" s="100"/>
      <c r="AJ29" s="99"/>
      <c r="AK29" s="98"/>
    </row>
    <row r="30" spans="1:37">
      <c r="A30" s="546" t="s">
        <v>439</v>
      </c>
      <c r="B30" s="546"/>
      <c r="C30" s="131"/>
      <c r="D30" s="158">
        <f>D8+D11+D25</f>
        <v>33466045</v>
      </c>
      <c r="E30" s="158">
        <f>E8+E11+E25</f>
        <v>5985500</v>
      </c>
      <c r="F30" s="132">
        <f>F8+F11+F25</f>
        <v>39451545</v>
      </c>
      <c r="G30" s="132">
        <f t="shared" ref="G30:I30" si="8">G8+G11+G25</f>
        <v>12650361.42</v>
      </c>
      <c r="H30" s="132">
        <f t="shared" si="8"/>
        <v>26280295</v>
      </c>
      <c r="I30" s="132">
        <f t="shared" si="8"/>
        <v>520888.58000000007</v>
      </c>
      <c r="L30" s="494"/>
      <c r="M30" s="492">
        <f t="shared" ref="M30:AJ30" si="9">SUM(M6:M29)</f>
        <v>0</v>
      </c>
      <c r="N30" s="97">
        <f t="shared" si="9"/>
        <v>0</v>
      </c>
      <c r="O30" s="97">
        <f t="shared" si="9"/>
        <v>0</v>
      </c>
      <c r="P30" s="97">
        <f t="shared" si="9"/>
        <v>0</v>
      </c>
      <c r="Q30" s="97">
        <f t="shared" si="9"/>
        <v>1345000</v>
      </c>
      <c r="R30" s="97">
        <f t="shared" si="9"/>
        <v>0</v>
      </c>
      <c r="S30" s="97">
        <f t="shared" si="9"/>
        <v>8694211.4199999999</v>
      </c>
      <c r="T30" s="97">
        <f t="shared" si="9"/>
        <v>0</v>
      </c>
      <c r="U30" s="97">
        <f t="shared" si="9"/>
        <v>0</v>
      </c>
      <c r="V30" s="97">
        <f t="shared" si="9"/>
        <v>0</v>
      </c>
      <c r="W30" s="97">
        <f t="shared" si="9"/>
        <v>1255150</v>
      </c>
      <c r="X30" s="97">
        <f t="shared" si="9"/>
        <v>0</v>
      </c>
      <c r="Y30" s="97">
        <f t="shared" si="9"/>
        <v>0</v>
      </c>
      <c r="Z30" s="97">
        <f t="shared" si="9"/>
        <v>0</v>
      </c>
      <c r="AA30" s="97">
        <f t="shared" si="9"/>
        <v>0</v>
      </c>
      <c r="AB30" s="97">
        <f t="shared" si="9"/>
        <v>0</v>
      </c>
      <c r="AC30" s="97">
        <f t="shared" si="9"/>
        <v>0</v>
      </c>
      <c r="AD30" s="97">
        <f t="shared" si="9"/>
        <v>0</v>
      </c>
      <c r="AE30" s="97">
        <f t="shared" si="9"/>
        <v>0</v>
      </c>
      <c r="AF30" s="97">
        <f t="shared" si="9"/>
        <v>0</v>
      </c>
      <c r="AG30" s="97">
        <f t="shared" si="9"/>
        <v>0</v>
      </c>
      <c r="AH30" s="97">
        <f t="shared" si="9"/>
        <v>0</v>
      </c>
      <c r="AI30" s="97">
        <f t="shared" si="9"/>
        <v>0</v>
      </c>
      <c r="AJ30" s="97">
        <f t="shared" si="9"/>
        <v>0</v>
      </c>
    </row>
    <row r="31" spans="1:37" s="45" customFormat="1" ht="9" customHeight="1">
      <c r="A31" s="96"/>
      <c r="B31" s="96"/>
      <c r="C31" s="73"/>
      <c r="D31" s="72"/>
      <c r="E31" s="72"/>
      <c r="F31" s="72"/>
      <c r="G31" s="95"/>
      <c r="H31" s="95"/>
      <c r="I31" s="94"/>
      <c r="K31"/>
      <c r="L31" s="493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3"/>
      <c r="AD31" s="92"/>
      <c r="AE31" s="93"/>
      <c r="AF31" s="92"/>
      <c r="AG31" s="93"/>
      <c r="AH31" s="93"/>
      <c r="AI31" s="93"/>
      <c r="AJ31" s="92"/>
      <c r="AK31" s="92"/>
    </row>
    <row r="32" spans="1:37" s="68" customFormat="1">
      <c r="B32" s="74"/>
      <c r="C32" s="73"/>
      <c r="D32" s="72"/>
      <c r="E32" s="72"/>
      <c r="F32" s="72"/>
      <c r="G32" s="71"/>
      <c r="H32" s="71"/>
      <c r="I32" s="69"/>
      <c r="K32"/>
      <c r="L32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80"/>
      <c r="AD32" s="79"/>
      <c r="AE32" s="80"/>
      <c r="AF32" s="79"/>
      <c r="AG32" s="80"/>
      <c r="AH32" s="80"/>
      <c r="AI32" s="80"/>
      <c r="AJ32" s="79"/>
      <c r="AK32" s="79"/>
    </row>
    <row r="33" spans="2:37" s="68" customFormat="1">
      <c r="B33" s="74"/>
      <c r="C33" s="73"/>
      <c r="D33" s="72"/>
      <c r="E33" s="72"/>
      <c r="F33" s="72"/>
      <c r="G33" s="71"/>
      <c r="H33" s="71"/>
      <c r="I33" s="69"/>
      <c r="K33"/>
      <c r="L33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80"/>
      <c r="AD33" s="79"/>
      <c r="AE33" s="80"/>
      <c r="AF33" s="79"/>
      <c r="AG33" s="80"/>
      <c r="AH33" s="80"/>
      <c r="AI33" s="80"/>
      <c r="AJ33" s="79"/>
      <c r="AK33" s="79"/>
    </row>
    <row r="34" spans="2:37" s="68" customFormat="1">
      <c r="B34" s="74"/>
      <c r="C34" s="73"/>
      <c r="D34" s="72"/>
      <c r="E34" s="72"/>
      <c r="F34" s="72"/>
      <c r="G34" s="71"/>
      <c r="H34" s="71"/>
      <c r="I34" s="69"/>
      <c r="K34"/>
      <c r="L34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80"/>
      <c r="AD34" s="79"/>
      <c r="AE34" s="80"/>
      <c r="AF34" s="79"/>
      <c r="AG34" s="80"/>
      <c r="AH34" s="80"/>
      <c r="AI34" s="80"/>
      <c r="AJ34" s="79"/>
      <c r="AK34" s="79"/>
    </row>
    <row r="35" spans="2:37" s="68" customFormat="1">
      <c r="B35" s="74"/>
      <c r="C35" s="73"/>
      <c r="D35" s="72"/>
      <c r="E35" s="72"/>
      <c r="F35" s="72"/>
      <c r="G35" s="71"/>
      <c r="H35" s="71"/>
      <c r="I35" s="69"/>
      <c r="K35"/>
      <c r="L35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80"/>
      <c r="AD35" s="79"/>
      <c r="AE35" s="80"/>
      <c r="AF35" s="79"/>
      <c r="AG35" s="80"/>
      <c r="AH35" s="80"/>
      <c r="AI35" s="80"/>
      <c r="AJ35" s="79"/>
      <c r="AK35" s="79"/>
    </row>
    <row r="36" spans="2:37" s="68" customFormat="1">
      <c r="B36" s="74"/>
      <c r="C36" s="73"/>
      <c r="D36" s="72"/>
      <c r="E36" s="72"/>
      <c r="F36" s="72"/>
      <c r="G36" s="71"/>
      <c r="H36" s="71"/>
      <c r="I36" s="69"/>
      <c r="K36"/>
      <c r="L36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80"/>
      <c r="AD36" s="79"/>
      <c r="AE36" s="80"/>
      <c r="AF36" s="79"/>
      <c r="AG36" s="80"/>
      <c r="AH36" s="80"/>
      <c r="AI36" s="80"/>
      <c r="AJ36" s="79"/>
      <c r="AK36" s="79"/>
    </row>
    <row r="37" spans="2:37" s="68" customFormat="1">
      <c r="B37" s="74"/>
      <c r="C37" s="73"/>
      <c r="D37" s="72"/>
      <c r="E37" s="72"/>
      <c r="F37" s="72"/>
      <c r="G37" s="71"/>
      <c r="H37" s="71"/>
      <c r="I37" s="69"/>
      <c r="K37"/>
      <c r="L37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80"/>
      <c r="AD37" s="79"/>
      <c r="AE37" s="80"/>
      <c r="AF37" s="79"/>
      <c r="AG37" s="80"/>
      <c r="AH37" s="80"/>
      <c r="AI37" s="80"/>
      <c r="AJ37" s="79"/>
      <c r="AK37" s="79"/>
    </row>
    <row r="38" spans="2:37" s="68" customFormat="1">
      <c r="B38" s="74"/>
      <c r="C38" s="73"/>
      <c r="D38" s="72"/>
      <c r="E38" s="72"/>
      <c r="F38" s="72"/>
      <c r="G38" s="71"/>
      <c r="H38" s="71"/>
      <c r="I38" s="69"/>
      <c r="K38"/>
      <c r="L38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80"/>
      <c r="AD38" s="79"/>
      <c r="AE38" s="80"/>
      <c r="AF38" s="79"/>
      <c r="AG38" s="80"/>
      <c r="AH38" s="80"/>
      <c r="AI38" s="80"/>
      <c r="AJ38" s="79"/>
      <c r="AK38" s="79"/>
    </row>
    <row r="39" spans="2:37" s="68" customFormat="1">
      <c r="B39" s="74"/>
      <c r="C39" s="73"/>
      <c r="D39" s="72"/>
      <c r="E39" s="72"/>
      <c r="F39" s="72"/>
      <c r="G39" s="71"/>
      <c r="H39" s="71"/>
      <c r="I39" s="69"/>
      <c r="K39"/>
      <c r="L3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80"/>
      <c r="AD39" s="79"/>
      <c r="AE39" s="80"/>
      <c r="AF39" s="79"/>
      <c r="AG39" s="80"/>
      <c r="AH39" s="80"/>
      <c r="AI39" s="80"/>
      <c r="AJ39" s="79"/>
      <c r="AK39" s="79"/>
    </row>
    <row r="40" spans="2:37" s="68" customFormat="1">
      <c r="B40" s="74"/>
      <c r="C40" s="73"/>
      <c r="D40" s="72"/>
      <c r="E40" s="72"/>
      <c r="F40" s="72"/>
      <c r="G40" s="71"/>
      <c r="H40" s="71"/>
      <c r="I40" s="69"/>
      <c r="K40"/>
      <c r="L40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80"/>
      <c r="AD40" s="79"/>
      <c r="AE40" s="80"/>
      <c r="AF40" s="79"/>
      <c r="AG40" s="80"/>
      <c r="AH40" s="80"/>
      <c r="AI40" s="80"/>
      <c r="AJ40" s="79"/>
      <c r="AK40" s="79"/>
    </row>
    <row r="41" spans="2:37" s="68" customFormat="1">
      <c r="B41" s="74"/>
      <c r="C41" s="73"/>
      <c r="D41" s="72"/>
      <c r="E41" s="72"/>
      <c r="F41" s="72"/>
      <c r="G41" s="71"/>
      <c r="H41" s="71"/>
      <c r="I41" s="69"/>
      <c r="K41"/>
      <c r="L41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80"/>
      <c r="AD41" s="79"/>
      <c r="AE41" s="80"/>
      <c r="AF41" s="79"/>
      <c r="AG41" s="80"/>
      <c r="AH41" s="80"/>
      <c r="AI41" s="80"/>
      <c r="AJ41" s="79"/>
      <c r="AK41" s="79"/>
    </row>
  </sheetData>
  <mergeCells count="28">
    <mergeCell ref="O4:P4"/>
    <mergeCell ref="Q4:R4"/>
    <mergeCell ref="S4:T4"/>
    <mergeCell ref="U4:V4"/>
    <mergeCell ref="A4:A5"/>
    <mergeCell ref="B4:B5"/>
    <mergeCell ref="C4:C5"/>
    <mergeCell ref="D4:D5"/>
    <mergeCell ref="E4:E5"/>
    <mergeCell ref="F4:F5"/>
    <mergeCell ref="G4:G5"/>
    <mergeCell ref="H4:H5"/>
    <mergeCell ref="M4:N4"/>
    <mergeCell ref="L4:L5"/>
    <mergeCell ref="A3:K3"/>
    <mergeCell ref="A1:L2"/>
    <mergeCell ref="AI4:AJ4"/>
    <mergeCell ref="A6:C6"/>
    <mergeCell ref="A7:B7"/>
    <mergeCell ref="B12:C12"/>
    <mergeCell ref="A30:B30"/>
    <mergeCell ref="W4:X4"/>
    <mergeCell ref="Y4:Z4"/>
    <mergeCell ref="AA4:AB4"/>
    <mergeCell ref="AC4:AD4"/>
    <mergeCell ref="AE4:AF4"/>
    <mergeCell ref="AG4:AH4"/>
    <mergeCell ref="I4:I5"/>
  </mergeCells>
  <printOptions horizontalCentered="1"/>
  <pageMargins left="0.26" right="0.3" top="0.63" bottom="7.874015748031496E-2" header="1.1399999999999999" footer="0.31496062992125984"/>
  <pageSetup paperSize="9" scale="56" fitToHeight="0" orientation="landscape" r:id="rId1"/>
  <headerFooter scaleWithDoc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K78"/>
  <sheetViews>
    <sheetView view="pageBreakPreview" zoomScale="80" zoomScaleNormal="99" zoomScaleSheetLayoutView="80" workbookViewId="0">
      <pane xSplit="2" ySplit="6" topLeftCell="E7" activePane="bottomRight" state="frozen"/>
      <selection pane="topRight" activeCell="C1" sqref="C1"/>
      <selection pane="bottomLeft" activeCell="A6" sqref="A6"/>
      <selection pane="bottomRight" activeCell="H50" sqref="H50"/>
    </sheetView>
  </sheetViews>
  <sheetFormatPr defaultColWidth="9" defaultRowHeight="23.25" outlineLevelCol="1"/>
  <cols>
    <col min="1" max="1" width="7.5703125" style="16" bestFit="1" customWidth="1"/>
    <col min="2" max="2" width="71" style="22" customWidth="1"/>
    <col min="3" max="3" width="21" style="21" customWidth="1"/>
    <col min="4" max="4" width="18.7109375" style="19" bestFit="1" customWidth="1" outlineLevel="1"/>
    <col min="5" max="5" width="20" style="19" customWidth="1" outlineLevel="1"/>
    <col min="6" max="6" width="20.28515625" style="19" customWidth="1"/>
    <col min="7" max="7" width="18.28515625" style="20" customWidth="1"/>
    <col min="8" max="8" width="19.85546875" style="20" customWidth="1"/>
    <col min="9" max="9" width="21.42578125" style="19" customWidth="1"/>
    <col min="10" max="10" width="0.140625" style="16" hidden="1" customWidth="1"/>
    <col min="11" max="11" width="0.140625" style="16" customWidth="1"/>
    <col min="12" max="12" width="37.7109375" style="16" customWidth="1"/>
    <col min="13" max="28" width="17.42578125" style="18" hidden="1" customWidth="1"/>
    <col min="29" max="29" width="17.42578125" style="17" hidden="1" customWidth="1"/>
    <col min="30" max="30" width="17.42578125" style="18" hidden="1" customWidth="1"/>
    <col min="31" max="31" width="17.42578125" style="17" hidden="1" customWidth="1"/>
    <col min="32" max="32" width="17.42578125" style="18" hidden="1" customWidth="1"/>
    <col min="33" max="35" width="17.42578125" style="17" hidden="1" customWidth="1"/>
    <col min="36" max="36" width="17.42578125" style="18" hidden="1" customWidth="1"/>
    <col min="37" max="37" width="9" style="18"/>
    <col min="38" max="16384" width="9" style="16"/>
  </cols>
  <sheetData>
    <row r="1" spans="1:37" ht="27.75" customHeight="1">
      <c r="A1" s="540"/>
      <c r="B1" s="540"/>
      <c r="C1" s="540"/>
      <c r="D1" s="540"/>
      <c r="E1" s="540"/>
      <c r="F1" s="540"/>
      <c r="G1" s="540"/>
      <c r="H1" s="540"/>
      <c r="I1" s="540"/>
      <c r="J1" s="476"/>
      <c r="K1" s="476"/>
      <c r="L1" s="476"/>
      <c r="M1" s="476"/>
    </row>
    <row r="2" spans="1:37" ht="30.75" customHeight="1">
      <c r="A2" s="540"/>
      <c r="B2" s="540"/>
      <c r="C2" s="540"/>
      <c r="D2" s="540"/>
      <c r="E2" s="540"/>
      <c r="F2" s="540"/>
      <c r="G2" s="540"/>
      <c r="H2" s="540"/>
      <c r="I2" s="540"/>
      <c r="J2" s="476"/>
      <c r="K2" s="476"/>
      <c r="L2" s="476"/>
      <c r="M2" s="476"/>
    </row>
    <row r="3" spans="1:37" ht="27.75" customHeight="1">
      <c r="A3" s="539"/>
      <c r="B3" s="539"/>
      <c r="C3" s="539"/>
      <c r="D3" s="539"/>
      <c r="E3" s="539"/>
      <c r="F3" s="539"/>
      <c r="G3" s="539"/>
      <c r="H3" s="539"/>
      <c r="I3" s="539"/>
      <c r="J3" s="539"/>
      <c r="K3" s="488"/>
      <c r="L3" s="488"/>
    </row>
    <row r="4" spans="1:37" s="65" customFormat="1" ht="21.75" customHeight="1">
      <c r="A4" s="548" t="s">
        <v>135</v>
      </c>
      <c r="B4" s="548" t="s">
        <v>109</v>
      </c>
      <c r="C4" s="548" t="s">
        <v>110</v>
      </c>
      <c r="D4" s="547" t="s">
        <v>2</v>
      </c>
      <c r="E4" s="547" t="s">
        <v>1</v>
      </c>
      <c r="F4" s="549" t="s">
        <v>142</v>
      </c>
      <c r="G4" s="551" t="s">
        <v>32</v>
      </c>
      <c r="H4" s="551" t="s">
        <v>24</v>
      </c>
      <c r="I4" s="547" t="s">
        <v>133</v>
      </c>
      <c r="L4" s="547" t="s">
        <v>29</v>
      </c>
      <c r="M4" s="542">
        <v>22555</v>
      </c>
      <c r="N4" s="542"/>
      <c r="O4" s="542">
        <v>22586</v>
      </c>
      <c r="P4" s="542"/>
      <c r="Q4" s="542">
        <v>22616</v>
      </c>
      <c r="R4" s="542"/>
      <c r="S4" s="542">
        <v>22647</v>
      </c>
      <c r="T4" s="542"/>
      <c r="U4" s="542">
        <v>22678</v>
      </c>
      <c r="V4" s="542"/>
      <c r="W4" s="542">
        <v>22706</v>
      </c>
      <c r="X4" s="542"/>
      <c r="Y4" s="542">
        <v>22737</v>
      </c>
      <c r="Z4" s="542"/>
      <c r="AA4" s="542">
        <v>22767</v>
      </c>
      <c r="AB4" s="542"/>
      <c r="AC4" s="542">
        <v>22798</v>
      </c>
      <c r="AD4" s="542"/>
      <c r="AE4" s="542">
        <v>22828</v>
      </c>
      <c r="AF4" s="542"/>
      <c r="AG4" s="542">
        <v>22859</v>
      </c>
      <c r="AH4" s="542"/>
      <c r="AI4" s="542">
        <v>22890</v>
      </c>
      <c r="AJ4" s="542"/>
      <c r="AK4" s="110"/>
    </row>
    <row r="5" spans="1:37" s="65" customFormat="1" ht="27" customHeight="1">
      <c r="A5" s="548"/>
      <c r="B5" s="548"/>
      <c r="C5" s="548"/>
      <c r="D5" s="547"/>
      <c r="E5" s="547"/>
      <c r="F5" s="550"/>
      <c r="G5" s="552"/>
      <c r="H5" s="552"/>
      <c r="I5" s="547"/>
      <c r="L5" s="547"/>
      <c r="M5" s="67" t="s">
        <v>2</v>
      </c>
      <c r="N5" s="67" t="s">
        <v>1</v>
      </c>
      <c r="O5" s="67" t="s">
        <v>2</v>
      </c>
      <c r="P5" s="67" t="s">
        <v>1</v>
      </c>
      <c r="Q5" s="67" t="s">
        <v>2</v>
      </c>
      <c r="R5" s="67" t="s">
        <v>1</v>
      </c>
      <c r="S5" s="67" t="s">
        <v>2</v>
      </c>
      <c r="T5" s="67" t="s">
        <v>1</v>
      </c>
      <c r="U5" s="67" t="s">
        <v>2</v>
      </c>
      <c r="V5" s="67" t="s">
        <v>1</v>
      </c>
      <c r="W5" s="67" t="s">
        <v>2</v>
      </c>
      <c r="X5" s="67" t="s">
        <v>1</v>
      </c>
      <c r="Y5" s="67" t="s">
        <v>2</v>
      </c>
      <c r="Z5" s="67" t="s">
        <v>1</v>
      </c>
      <c r="AA5" s="67" t="s">
        <v>2</v>
      </c>
      <c r="AB5" s="67" t="s">
        <v>1</v>
      </c>
      <c r="AC5" s="66" t="s">
        <v>2</v>
      </c>
      <c r="AD5" s="67" t="s">
        <v>1</v>
      </c>
      <c r="AE5" s="66" t="s">
        <v>2</v>
      </c>
      <c r="AF5" s="67" t="s">
        <v>1</v>
      </c>
      <c r="AG5" s="66" t="s">
        <v>2</v>
      </c>
      <c r="AH5" s="66" t="s">
        <v>1</v>
      </c>
      <c r="AI5" s="66" t="s">
        <v>2</v>
      </c>
      <c r="AJ5" s="67" t="s">
        <v>1</v>
      </c>
      <c r="AK5" s="110"/>
    </row>
    <row r="6" spans="1:37" s="65" customFormat="1" ht="31.5" customHeight="1">
      <c r="A6" s="554" t="s">
        <v>392</v>
      </c>
      <c r="B6" s="555"/>
      <c r="C6" s="555"/>
      <c r="D6" s="503"/>
      <c r="E6" s="503"/>
      <c r="F6" s="503"/>
      <c r="G6" s="504"/>
      <c r="H6" s="504"/>
      <c r="I6" s="505"/>
      <c r="L6" s="505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3"/>
      <c r="AD6" s="64"/>
      <c r="AE6" s="63"/>
      <c r="AF6" s="64"/>
      <c r="AG6" s="63"/>
      <c r="AH6" s="63"/>
      <c r="AI6" s="63"/>
      <c r="AJ6" s="64"/>
      <c r="AK6" s="110"/>
    </row>
    <row r="7" spans="1:37" s="65" customFormat="1" ht="30" customHeight="1">
      <c r="A7" s="543" t="s">
        <v>155</v>
      </c>
      <c r="B7" s="543"/>
      <c r="C7" s="497"/>
      <c r="D7" s="113"/>
      <c r="E7" s="113"/>
      <c r="F7" s="113"/>
      <c r="G7" s="112"/>
      <c r="H7" s="112"/>
      <c r="I7" s="113"/>
      <c r="J7" s="64"/>
      <c r="K7" s="64"/>
      <c r="L7" s="113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3"/>
      <c r="AD7" s="64"/>
      <c r="AE7" s="63"/>
      <c r="AF7" s="64"/>
      <c r="AG7" s="63"/>
      <c r="AH7" s="63"/>
      <c r="AI7" s="63"/>
      <c r="AJ7" s="64"/>
      <c r="AK7" s="110"/>
    </row>
    <row r="8" spans="1:37" s="21" customFormat="1" ht="46.5">
      <c r="A8" s="115">
        <v>4</v>
      </c>
      <c r="B8" s="116" t="s">
        <v>211</v>
      </c>
      <c r="C8" s="117"/>
      <c r="D8" s="118">
        <f>D15</f>
        <v>2000000</v>
      </c>
      <c r="E8" s="118">
        <f>E10+E11+E12+E13+E14+E15+E16+E17+E18</f>
        <v>102250000</v>
      </c>
      <c r="F8" s="118">
        <f>F10+F11+F12+F13+F14+F15+F16+F17+F18</f>
        <v>104250000</v>
      </c>
      <c r="G8" s="119">
        <f>G10+G11+G12+G13+G14+G15+G16+G18</f>
        <v>8096615.8599999994</v>
      </c>
      <c r="H8" s="119">
        <f>H10+H11+H12+H13+H14+H15+H16+H18</f>
        <v>77452317.5</v>
      </c>
      <c r="I8" s="119">
        <f>I10+I11+I12+I13+I14+I15+I16+I18</f>
        <v>13451066.640000001</v>
      </c>
      <c r="J8" s="56"/>
      <c r="K8" s="56"/>
      <c r="L8" s="119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24"/>
      <c r="AD8" s="56"/>
      <c r="AE8" s="24"/>
      <c r="AF8" s="56"/>
      <c r="AG8" s="24"/>
      <c r="AH8" s="24"/>
      <c r="AI8" s="24"/>
      <c r="AJ8" s="56"/>
      <c r="AK8" s="102"/>
    </row>
    <row r="9" spans="1:37" ht="46.5">
      <c r="A9" s="25"/>
      <c r="B9" s="53" t="s">
        <v>156</v>
      </c>
      <c r="C9" s="48"/>
      <c r="D9" s="60"/>
      <c r="E9" s="60"/>
      <c r="F9" s="60"/>
      <c r="G9" s="35"/>
      <c r="H9" s="35"/>
      <c r="I9" s="46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35"/>
      <c r="AD9" s="25"/>
      <c r="AE9" s="35"/>
      <c r="AF9" s="25"/>
      <c r="AG9" s="35"/>
      <c r="AH9" s="35"/>
      <c r="AI9" s="35"/>
      <c r="AJ9" s="25"/>
    </row>
    <row r="10" spans="1:37" s="77" customFormat="1" ht="46.5">
      <c r="A10" s="78"/>
      <c r="B10" s="52" t="s">
        <v>157</v>
      </c>
      <c r="C10" s="51" t="s">
        <v>442</v>
      </c>
      <c r="D10" s="50"/>
      <c r="E10" s="50">
        <v>12000000</v>
      </c>
      <c r="F10" s="50">
        <v>12000000</v>
      </c>
      <c r="G10" s="30">
        <f>SUM(M10:Z10)</f>
        <v>1705006.38</v>
      </c>
      <c r="H10" s="30">
        <f>F10-G10-I10</f>
        <v>9661702.8100000005</v>
      </c>
      <c r="I10" s="29">
        <v>633290.81000000006</v>
      </c>
      <c r="J10" s="55"/>
      <c r="K10" s="55"/>
      <c r="L10" s="498" t="s">
        <v>349</v>
      </c>
      <c r="M10" s="55"/>
      <c r="N10" s="109"/>
      <c r="O10" s="55"/>
      <c r="P10" s="109"/>
      <c r="Q10" s="55"/>
      <c r="R10" s="55"/>
      <c r="S10" s="55"/>
      <c r="T10" s="55"/>
      <c r="U10" s="55"/>
      <c r="V10" s="54">
        <f>1705006.38</f>
        <v>1705006.38</v>
      </c>
      <c r="W10" s="54"/>
      <c r="X10" s="109"/>
      <c r="Y10" s="54"/>
      <c r="Z10" s="109"/>
      <c r="AA10" s="55"/>
      <c r="AB10" s="109"/>
      <c r="AC10" s="54"/>
      <c r="AD10" s="109"/>
      <c r="AE10" s="54"/>
      <c r="AF10" s="109"/>
      <c r="AG10" s="54"/>
      <c r="AH10" s="54"/>
      <c r="AI10" s="54"/>
      <c r="AJ10" s="109"/>
      <c r="AK10" s="98"/>
    </row>
    <row r="11" spans="1:37" s="77" customFormat="1" ht="46.5">
      <c r="A11" s="78"/>
      <c r="B11" s="52" t="s">
        <v>158</v>
      </c>
      <c r="C11" s="51" t="s">
        <v>442</v>
      </c>
      <c r="D11" s="50"/>
      <c r="E11" s="50">
        <v>12000000</v>
      </c>
      <c r="F11" s="50">
        <v>12000000</v>
      </c>
      <c r="G11" s="30">
        <f t="shared" ref="G11:G18" si="0">SUM(M11:Z11)</f>
        <v>1677900</v>
      </c>
      <c r="H11" s="30">
        <f>F11-G11-I11</f>
        <v>9508100</v>
      </c>
      <c r="I11" s="29">
        <v>814000</v>
      </c>
      <c r="J11" s="55"/>
      <c r="K11" s="55"/>
      <c r="L11" s="498" t="s">
        <v>349</v>
      </c>
      <c r="M11" s="55"/>
      <c r="N11" s="109"/>
      <c r="O11" s="55"/>
      <c r="P11" s="109"/>
      <c r="Q11" s="55"/>
      <c r="R11" s="55"/>
      <c r="S11" s="55"/>
      <c r="T11" s="55"/>
      <c r="U11" s="55"/>
      <c r="V11" s="109"/>
      <c r="W11" s="54"/>
      <c r="X11" s="109">
        <f>1677900</f>
        <v>1677900</v>
      </c>
      <c r="Y11" s="54"/>
      <c r="Z11" s="109"/>
      <c r="AA11" s="55"/>
      <c r="AB11" s="109"/>
      <c r="AC11" s="54"/>
      <c r="AD11" s="109"/>
      <c r="AE11" s="54"/>
      <c r="AF11" s="109"/>
      <c r="AG11" s="54"/>
      <c r="AH11" s="54"/>
      <c r="AI11" s="54"/>
      <c r="AJ11" s="109"/>
      <c r="AK11" s="98"/>
    </row>
    <row r="12" spans="1:37" s="77" customFormat="1" ht="46.5">
      <c r="A12" s="78"/>
      <c r="B12" s="52" t="s">
        <v>159</v>
      </c>
      <c r="C12" s="51" t="s">
        <v>442</v>
      </c>
      <c r="D12" s="50"/>
      <c r="E12" s="50">
        <v>15000000</v>
      </c>
      <c r="F12" s="50">
        <v>15000000</v>
      </c>
      <c r="G12" s="30">
        <f t="shared" si="0"/>
        <v>0</v>
      </c>
      <c r="H12" s="30">
        <f>F12-G12-I12</f>
        <v>11890000</v>
      </c>
      <c r="I12" s="29">
        <v>3110000</v>
      </c>
      <c r="J12" s="55"/>
      <c r="K12" s="55"/>
      <c r="L12" s="498" t="s">
        <v>298</v>
      </c>
      <c r="M12" s="55"/>
      <c r="N12" s="109"/>
      <c r="O12" s="55"/>
      <c r="P12" s="109"/>
      <c r="Q12" s="55"/>
      <c r="R12" s="55"/>
      <c r="S12" s="55"/>
      <c r="T12" s="55"/>
      <c r="U12" s="55"/>
      <c r="V12" s="109"/>
      <c r="W12" s="54"/>
      <c r="X12" s="109"/>
      <c r="Y12" s="54"/>
      <c r="Z12" s="109"/>
      <c r="AA12" s="55"/>
      <c r="AB12" s="109"/>
      <c r="AC12" s="54"/>
      <c r="AD12" s="109"/>
      <c r="AE12" s="54"/>
      <c r="AF12" s="109"/>
      <c r="AG12" s="54"/>
      <c r="AH12" s="54"/>
      <c r="AI12" s="54"/>
      <c r="AJ12" s="109"/>
      <c r="AK12" s="98"/>
    </row>
    <row r="13" spans="1:37" s="77" customFormat="1" ht="46.5">
      <c r="A13" s="78"/>
      <c r="B13" s="52" t="s">
        <v>213</v>
      </c>
      <c r="C13" s="51" t="s">
        <v>442</v>
      </c>
      <c r="D13" s="50"/>
      <c r="E13" s="50">
        <v>25000000</v>
      </c>
      <c r="F13" s="50">
        <v>25000000</v>
      </c>
      <c r="G13" s="30">
        <f t="shared" si="0"/>
        <v>2998509.48</v>
      </c>
      <c r="H13" s="30">
        <f>F13-G13-I13</f>
        <v>16991553.689999998</v>
      </c>
      <c r="I13" s="29">
        <v>5009936.83</v>
      </c>
      <c r="J13" s="55"/>
      <c r="K13" s="55"/>
      <c r="L13" s="498" t="s">
        <v>298</v>
      </c>
      <c r="M13" s="55"/>
      <c r="N13" s="109"/>
      <c r="O13" s="55"/>
      <c r="P13" s="109"/>
      <c r="Q13" s="55"/>
      <c r="R13" s="55"/>
      <c r="S13" s="55"/>
      <c r="T13" s="55"/>
      <c r="U13" s="55"/>
      <c r="V13" s="109">
        <f>2998509.48</f>
        <v>2998509.48</v>
      </c>
      <c r="W13" s="54"/>
      <c r="X13" s="109"/>
      <c r="Y13" s="54"/>
      <c r="Z13" s="109"/>
      <c r="AA13" s="55"/>
      <c r="AB13" s="109"/>
      <c r="AC13" s="54"/>
      <c r="AD13" s="109"/>
      <c r="AE13" s="54"/>
      <c r="AF13" s="109"/>
      <c r="AG13" s="54"/>
      <c r="AH13" s="54"/>
      <c r="AI13" s="54"/>
      <c r="AJ13" s="109"/>
      <c r="AK13" s="98"/>
    </row>
    <row r="14" spans="1:37" s="77" customFormat="1" ht="75">
      <c r="A14" s="78"/>
      <c r="B14" s="52" t="s">
        <v>214</v>
      </c>
      <c r="C14" s="51" t="s">
        <v>442</v>
      </c>
      <c r="D14" s="50"/>
      <c r="E14" s="50">
        <v>20000000</v>
      </c>
      <c r="F14" s="50">
        <v>20000000</v>
      </c>
      <c r="G14" s="30">
        <f t="shared" si="0"/>
        <v>0</v>
      </c>
      <c r="H14" s="30">
        <f>F14-G14-I14</f>
        <v>16116161</v>
      </c>
      <c r="I14" s="29">
        <v>3883839</v>
      </c>
      <c r="J14" s="55"/>
      <c r="K14" s="55"/>
      <c r="L14" s="498" t="s">
        <v>478</v>
      </c>
      <c r="M14" s="55"/>
      <c r="N14" s="109"/>
      <c r="O14" s="55"/>
      <c r="P14" s="109"/>
      <c r="Q14" s="55"/>
      <c r="R14" s="55"/>
      <c r="S14" s="55"/>
      <c r="T14" s="55"/>
      <c r="U14" s="55"/>
      <c r="V14" s="109"/>
      <c r="W14" s="54"/>
      <c r="X14" s="109"/>
      <c r="Y14" s="54"/>
      <c r="Z14" s="109"/>
      <c r="AA14" s="55"/>
      <c r="AB14" s="109"/>
      <c r="AC14" s="54"/>
      <c r="AD14" s="109"/>
      <c r="AE14" s="54"/>
      <c r="AF14" s="109"/>
      <c r="AG14" s="54"/>
      <c r="AH14" s="54"/>
      <c r="AI14" s="54"/>
      <c r="AJ14" s="109"/>
      <c r="AK14" s="98"/>
    </row>
    <row r="15" spans="1:37" s="77" customFormat="1" ht="93">
      <c r="A15" s="78"/>
      <c r="B15" s="52" t="s">
        <v>457</v>
      </c>
      <c r="C15" s="51" t="s">
        <v>45</v>
      </c>
      <c r="D15" s="50">
        <v>2000000</v>
      </c>
      <c r="E15" s="55"/>
      <c r="F15" s="50">
        <v>2000000</v>
      </c>
      <c r="G15" s="30">
        <f t="shared" si="0"/>
        <v>1715200</v>
      </c>
      <c r="H15" s="30">
        <f t="shared" ref="H15:H21" si="1">F15-G15</f>
        <v>284800</v>
      </c>
      <c r="I15" s="29"/>
      <c r="J15" s="55"/>
      <c r="K15" s="55"/>
      <c r="L15" s="498" t="s">
        <v>479</v>
      </c>
      <c r="M15" s="55"/>
      <c r="N15" s="109"/>
      <c r="O15" s="55"/>
      <c r="P15" s="109"/>
      <c r="Q15" s="55"/>
      <c r="R15" s="55"/>
      <c r="S15" s="55"/>
      <c r="T15" s="55"/>
      <c r="U15" s="55"/>
      <c r="V15" s="109"/>
      <c r="W15" s="54"/>
      <c r="X15" s="109"/>
      <c r="Y15" s="54">
        <v>1715200</v>
      </c>
      <c r="Z15" s="109"/>
      <c r="AA15" s="55"/>
      <c r="AB15" s="109"/>
      <c r="AC15" s="54"/>
      <c r="AD15" s="109"/>
      <c r="AE15" s="54"/>
      <c r="AF15" s="109"/>
      <c r="AG15" s="54"/>
      <c r="AH15" s="54"/>
      <c r="AI15" s="54"/>
      <c r="AJ15" s="109"/>
      <c r="AK15" s="98"/>
    </row>
    <row r="16" spans="1:37" s="77" customFormat="1" ht="150">
      <c r="A16" s="78"/>
      <c r="B16" s="471" t="s">
        <v>466</v>
      </c>
      <c r="C16" s="51" t="s">
        <v>442</v>
      </c>
      <c r="D16" s="472"/>
      <c r="E16" s="472">
        <v>12000000</v>
      </c>
      <c r="F16" s="472">
        <v>12000000</v>
      </c>
      <c r="G16" s="30">
        <f t="shared" si="0"/>
        <v>0</v>
      </c>
      <c r="H16" s="30">
        <f t="shared" ref="H16:H18" si="2">F16-G16</f>
        <v>12000000</v>
      </c>
      <c r="I16" s="29"/>
      <c r="J16" s="55"/>
      <c r="K16" s="55"/>
      <c r="L16" s="498" t="s">
        <v>480</v>
      </c>
      <c r="M16" s="55"/>
      <c r="N16" s="109"/>
      <c r="O16" s="55"/>
      <c r="P16" s="109"/>
      <c r="Q16" s="55"/>
      <c r="R16" s="55"/>
      <c r="S16" s="55"/>
      <c r="T16" s="55"/>
      <c r="U16" s="55"/>
      <c r="V16" s="109"/>
      <c r="W16" s="54"/>
      <c r="X16" s="109"/>
      <c r="Y16" s="54"/>
      <c r="Z16" s="109"/>
      <c r="AA16" s="55"/>
      <c r="AB16" s="109"/>
      <c r="AC16" s="54"/>
      <c r="AD16" s="109"/>
      <c r="AE16" s="54"/>
      <c r="AF16" s="109"/>
      <c r="AG16" s="54"/>
      <c r="AH16" s="54"/>
      <c r="AI16" s="54"/>
      <c r="AJ16" s="109"/>
      <c r="AK16" s="98"/>
    </row>
    <row r="17" spans="1:37" s="77" customFormat="1" ht="150">
      <c r="A17" s="78"/>
      <c r="B17" s="471" t="s">
        <v>443</v>
      </c>
      <c r="C17" s="51" t="s">
        <v>442</v>
      </c>
      <c r="D17" s="472"/>
      <c r="E17" s="472">
        <v>5250000</v>
      </c>
      <c r="F17" s="472">
        <v>5250000</v>
      </c>
      <c r="G17" s="30">
        <f t="shared" si="0"/>
        <v>0</v>
      </c>
      <c r="H17" s="30">
        <f t="shared" si="2"/>
        <v>5250000</v>
      </c>
      <c r="I17" s="29"/>
      <c r="J17" s="55"/>
      <c r="K17" s="55"/>
      <c r="L17" s="498" t="s">
        <v>481</v>
      </c>
      <c r="M17" s="55"/>
      <c r="N17" s="109"/>
      <c r="O17" s="55"/>
      <c r="P17" s="109"/>
      <c r="Q17" s="55"/>
      <c r="R17" s="55"/>
      <c r="S17" s="55"/>
      <c r="T17" s="55"/>
      <c r="U17" s="55"/>
      <c r="V17" s="109"/>
      <c r="W17" s="54"/>
      <c r="X17" s="109"/>
      <c r="Y17" s="54"/>
      <c r="Z17" s="109"/>
      <c r="AA17" s="55"/>
      <c r="AB17" s="109"/>
      <c r="AC17" s="54"/>
      <c r="AD17" s="109"/>
      <c r="AE17" s="54"/>
      <c r="AF17" s="109"/>
      <c r="AG17" s="54"/>
      <c r="AH17" s="54"/>
      <c r="AI17" s="54"/>
      <c r="AJ17" s="109"/>
      <c r="AK17" s="98"/>
    </row>
    <row r="18" spans="1:37" s="77" customFormat="1" ht="150">
      <c r="A18" s="78"/>
      <c r="B18" s="471" t="s">
        <v>444</v>
      </c>
      <c r="C18" s="76" t="s">
        <v>323</v>
      </c>
      <c r="D18" s="472"/>
      <c r="E18" s="472">
        <v>1000000</v>
      </c>
      <c r="F18" s="472">
        <v>1000000</v>
      </c>
      <c r="G18" s="30">
        <f t="shared" si="0"/>
        <v>0</v>
      </c>
      <c r="H18" s="30">
        <f t="shared" si="2"/>
        <v>1000000</v>
      </c>
      <c r="I18" s="29"/>
      <c r="J18" s="55"/>
      <c r="K18" s="55"/>
      <c r="L18" s="498" t="s">
        <v>482</v>
      </c>
      <c r="M18" s="55"/>
      <c r="N18" s="109"/>
      <c r="O18" s="55"/>
      <c r="P18" s="109"/>
      <c r="Q18" s="55"/>
      <c r="R18" s="55"/>
      <c r="S18" s="55"/>
      <c r="T18" s="55"/>
      <c r="U18" s="55"/>
      <c r="V18" s="109"/>
      <c r="W18" s="54"/>
      <c r="X18" s="109"/>
      <c r="Y18" s="54"/>
      <c r="Z18" s="109"/>
      <c r="AA18" s="55"/>
      <c r="AB18" s="109"/>
      <c r="AC18" s="54"/>
      <c r="AD18" s="109"/>
      <c r="AE18" s="54"/>
      <c r="AF18" s="109"/>
      <c r="AG18" s="54"/>
      <c r="AH18" s="54"/>
      <c r="AI18" s="54"/>
      <c r="AJ18" s="109"/>
      <c r="AK18" s="98"/>
    </row>
    <row r="19" spans="1:37" s="21" customFormat="1" ht="46.5">
      <c r="A19" s="115">
        <v>5</v>
      </c>
      <c r="B19" s="116" t="s">
        <v>160</v>
      </c>
      <c r="C19" s="121"/>
      <c r="D19" s="118">
        <f>D21</f>
        <v>900000</v>
      </c>
      <c r="E19" s="118"/>
      <c r="F19" s="118">
        <f>F21</f>
        <v>900000</v>
      </c>
      <c r="G19" s="134">
        <f>G21</f>
        <v>0</v>
      </c>
      <c r="H19" s="134">
        <f>H21</f>
        <v>900000</v>
      </c>
      <c r="I19" s="118"/>
      <c r="J19" s="150"/>
      <c r="K19" s="150"/>
      <c r="L19" s="150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24"/>
      <c r="AD19" s="56"/>
      <c r="AE19" s="24"/>
      <c r="AF19" s="56"/>
      <c r="AG19" s="24"/>
      <c r="AH19" s="24"/>
      <c r="AI19" s="24"/>
      <c r="AJ19" s="56"/>
      <c r="AK19" s="102"/>
    </row>
    <row r="20" spans="1:37">
      <c r="A20" s="40"/>
      <c r="B20" s="545" t="s">
        <v>161</v>
      </c>
      <c r="C20" s="545"/>
      <c r="D20" s="75"/>
      <c r="E20" s="75"/>
      <c r="F20" s="75"/>
      <c r="G20" s="135"/>
      <c r="H20" s="30"/>
      <c r="I20" s="46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35"/>
      <c r="AD20" s="25"/>
      <c r="AE20" s="35"/>
      <c r="AF20" s="25"/>
      <c r="AG20" s="35"/>
      <c r="AH20" s="35"/>
      <c r="AI20" s="35"/>
      <c r="AJ20" s="25"/>
    </row>
    <row r="21" spans="1:37" s="26" customFormat="1" ht="46.5">
      <c r="A21" s="34"/>
      <c r="B21" s="143" t="s">
        <v>445</v>
      </c>
      <c r="C21" s="160" t="s">
        <v>162</v>
      </c>
      <c r="D21" s="140">
        <v>900000</v>
      </c>
      <c r="E21" s="139"/>
      <c r="F21" s="139">
        <v>900000</v>
      </c>
      <c r="G21" s="135"/>
      <c r="H21" s="30">
        <f t="shared" si="1"/>
        <v>900000</v>
      </c>
      <c r="I21" s="36"/>
      <c r="J21" s="28"/>
      <c r="K21" s="28"/>
      <c r="L21" s="498" t="s">
        <v>421</v>
      </c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7"/>
      <c r="X21" s="28"/>
      <c r="Y21" s="28"/>
      <c r="Z21" s="28"/>
      <c r="AA21" s="28"/>
      <c r="AB21" s="28"/>
      <c r="AC21" s="27"/>
      <c r="AD21" s="28"/>
      <c r="AE21" s="27"/>
      <c r="AF21" s="28"/>
      <c r="AG21" s="27"/>
      <c r="AH21" s="27"/>
      <c r="AI21" s="27"/>
      <c r="AJ21" s="28"/>
      <c r="AK21" s="103"/>
    </row>
    <row r="22" spans="1:37" s="65" customFormat="1" ht="30" customHeight="1">
      <c r="A22" s="543" t="s">
        <v>117</v>
      </c>
      <c r="B22" s="543"/>
      <c r="C22" s="497"/>
      <c r="D22" s="113"/>
      <c r="E22" s="113"/>
      <c r="F22" s="113"/>
      <c r="G22" s="112"/>
      <c r="H22" s="112"/>
      <c r="I22" s="113"/>
      <c r="J22" s="64"/>
      <c r="K22" s="64"/>
      <c r="L22" s="501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3"/>
      <c r="AD22" s="64"/>
      <c r="AE22" s="63"/>
      <c r="AF22" s="64"/>
      <c r="AG22" s="63"/>
      <c r="AH22" s="63"/>
      <c r="AI22" s="63"/>
      <c r="AJ22" s="64"/>
      <c r="AK22" s="110"/>
    </row>
    <row r="23" spans="1:37" s="21" customFormat="1" ht="46.5">
      <c r="A23" s="115">
        <v>6</v>
      </c>
      <c r="B23" s="116" t="s">
        <v>139</v>
      </c>
      <c r="C23" s="121"/>
      <c r="D23" s="118">
        <f>D25</f>
        <v>1500000</v>
      </c>
      <c r="E23" s="118"/>
      <c r="F23" s="118">
        <f>D23</f>
        <v>1500000</v>
      </c>
      <c r="G23" s="122">
        <f>G25</f>
        <v>57293</v>
      </c>
      <c r="H23" s="122">
        <f>F23-G23</f>
        <v>1442707</v>
      </c>
      <c r="I23" s="118"/>
      <c r="J23" s="150"/>
      <c r="K23" s="150"/>
      <c r="L23" s="150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24"/>
      <c r="AD23" s="56"/>
      <c r="AE23" s="24"/>
      <c r="AF23" s="56"/>
      <c r="AG23" s="24"/>
      <c r="AH23" s="24"/>
      <c r="AI23" s="24"/>
      <c r="AJ23" s="56"/>
      <c r="AK23" s="102"/>
    </row>
    <row r="24" spans="1:37">
      <c r="A24" s="25"/>
      <c r="B24" s="545" t="s">
        <v>163</v>
      </c>
      <c r="C24" s="545"/>
      <c r="D24" s="75"/>
      <c r="E24" s="75"/>
      <c r="F24" s="75"/>
      <c r="G24" s="136"/>
      <c r="H24" s="57"/>
      <c r="I24" s="46"/>
      <c r="J24" s="25"/>
      <c r="K24" s="25"/>
      <c r="L24" s="498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35"/>
      <c r="AD24" s="25"/>
      <c r="AE24" s="35"/>
      <c r="AF24" s="25"/>
      <c r="AG24" s="35"/>
      <c r="AH24" s="35"/>
      <c r="AI24" s="35"/>
      <c r="AJ24" s="25"/>
    </row>
    <row r="25" spans="1:37" s="26" customFormat="1" ht="46.5">
      <c r="A25" s="34"/>
      <c r="B25" s="143" t="s">
        <v>164</v>
      </c>
      <c r="C25" s="138" t="s">
        <v>138</v>
      </c>
      <c r="D25" s="139">
        <v>1500000</v>
      </c>
      <c r="E25" s="139"/>
      <c r="F25" s="139">
        <v>1500000</v>
      </c>
      <c r="G25" s="136">
        <f>SUM(M25:Z25)</f>
        <v>57293</v>
      </c>
      <c r="H25" s="57">
        <f t="shared" ref="H25" si="3">F25-G25</f>
        <v>1442707</v>
      </c>
      <c r="I25" s="50"/>
      <c r="J25" s="28"/>
      <c r="K25" s="28"/>
      <c r="L25" s="498" t="s">
        <v>294</v>
      </c>
      <c r="M25" s="28"/>
      <c r="N25" s="28"/>
      <c r="O25" s="28"/>
      <c r="P25" s="28"/>
      <c r="Q25" s="28"/>
      <c r="R25" s="28"/>
      <c r="S25" s="28"/>
      <c r="T25" s="28"/>
      <c r="U25" s="27"/>
      <c r="V25" s="28"/>
      <c r="W25" s="107">
        <f>1225</f>
        <v>1225</v>
      </c>
      <c r="X25" s="28"/>
      <c r="Y25" s="107">
        <f>56068</f>
        <v>56068</v>
      </c>
      <c r="Z25" s="28"/>
      <c r="AA25" s="28"/>
      <c r="AB25" s="28"/>
      <c r="AC25" s="27"/>
      <c r="AD25" s="28"/>
      <c r="AE25" s="27"/>
      <c r="AF25" s="28"/>
      <c r="AG25" s="27"/>
      <c r="AH25" s="27"/>
      <c r="AI25" s="27"/>
      <c r="AJ25" s="28"/>
      <c r="AK25" s="103"/>
    </row>
    <row r="26" spans="1:37" s="21" customFormat="1" ht="46.5">
      <c r="A26" s="115">
        <v>7</v>
      </c>
      <c r="B26" s="116" t="s">
        <v>118</v>
      </c>
      <c r="C26" s="121"/>
      <c r="D26" s="118">
        <f>SUM(D28:D33)</f>
        <v>10427795</v>
      </c>
      <c r="E26" s="118">
        <f>SUM(E28:E33)</f>
        <v>36402000</v>
      </c>
      <c r="F26" s="118">
        <f>SUM(F28:F33)</f>
        <v>46829795</v>
      </c>
      <c r="G26" s="122">
        <f>G28+G29+G30+G31+G32+G33</f>
        <v>5777550</v>
      </c>
      <c r="H26" s="122">
        <f>F26-G26-I29</f>
        <v>30476745</v>
      </c>
      <c r="I26" s="118"/>
      <c r="J26" s="150"/>
      <c r="K26" s="150"/>
      <c r="L26" s="150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24"/>
      <c r="AD26" s="56"/>
      <c r="AE26" s="24"/>
      <c r="AF26" s="56"/>
      <c r="AG26" s="24"/>
      <c r="AH26" s="24"/>
      <c r="AI26" s="24"/>
      <c r="AJ26" s="56"/>
      <c r="AK26" s="102"/>
    </row>
    <row r="27" spans="1:37">
      <c r="A27" s="25"/>
      <c r="B27" s="545" t="s">
        <v>137</v>
      </c>
      <c r="C27" s="545"/>
      <c r="D27" s="75"/>
      <c r="E27" s="75"/>
      <c r="F27" s="75"/>
      <c r="G27" s="136"/>
      <c r="H27" s="57"/>
      <c r="I27" s="46"/>
      <c r="J27" s="25"/>
      <c r="K27" s="25"/>
      <c r="L27" s="498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35"/>
      <c r="AD27" s="25"/>
      <c r="AE27" s="35"/>
      <c r="AF27" s="25"/>
      <c r="AG27" s="35"/>
      <c r="AH27" s="35"/>
      <c r="AI27" s="35"/>
      <c r="AJ27" s="25"/>
    </row>
    <row r="28" spans="1:37" s="26" customFormat="1" ht="56.25">
      <c r="A28" s="34"/>
      <c r="B28" s="52" t="s">
        <v>165</v>
      </c>
      <c r="C28" s="161" t="s">
        <v>46</v>
      </c>
      <c r="D28" s="50">
        <v>5031950</v>
      </c>
      <c r="E28" s="104"/>
      <c r="F28" s="50">
        <v>5031950</v>
      </c>
      <c r="G28" s="57">
        <f>SUM(M28:Z28)</f>
        <v>4312850</v>
      </c>
      <c r="H28" s="57">
        <f t="shared" ref="H28:H31" si="4">F28-G28</f>
        <v>719100</v>
      </c>
      <c r="I28" s="50"/>
      <c r="J28" s="28"/>
      <c r="K28" s="28"/>
      <c r="L28" s="498" t="s">
        <v>483</v>
      </c>
      <c r="M28" s="28"/>
      <c r="N28" s="28"/>
      <c r="O28" s="27">
        <f>101800</f>
        <v>101800</v>
      </c>
      <c r="P28" s="28"/>
      <c r="Q28" s="27">
        <f>786500</f>
        <v>786500</v>
      </c>
      <c r="R28" s="28"/>
      <c r="S28" s="27">
        <f>59400+1028500+102150</f>
        <v>1190050</v>
      </c>
      <c r="T28" s="28"/>
      <c r="U28" s="27">
        <f>665500+752700</f>
        <v>1418200</v>
      </c>
      <c r="V28" s="28"/>
      <c r="W28" s="27">
        <f>423500+28800+70000+14000+280000</f>
        <v>816300</v>
      </c>
      <c r="X28" s="28"/>
      <c r="Y28" s="28"/>
      <c r="Z28" s="28"/>
      <c r="AA28" s="28"/>
      <c r="AB28" s="28"/>
      <c r="AC28" s="27"/>
      <c r="AD28" s="28"/>
      <c r="AE28" s="27"/>
      <c r="AF28" s="28"/>
      <c r="AG28" s="27"/>
      <c r="AH28" s="27"/>
      <c r="AI28" s="27"/>
      <c r="AJ28" s="28"/>
      <c r="AK28" s="103"/>
    </row>
    <row r="29" spans="1:37" s="26" customFormat="1" ht="75">
      <c r="A29" s="34"/>
      <c r="B29" s="52" t="s">
        <v>166</v>
      </c>
      <c r="C29" s="76" t="s">
        <v>47</v>
      </c>
      <c r="D29" s="50">
        <v>1468050</v>
      </c>
      <c r="E29" s="50">
        <v>34337500</v>
      </c>
      <c r="F29" s="50">
        <v>35805550</v>
      </c>
      <c r="G29" s="57">
        <f t="shared" ref="G29:G33" si="5">SUM(M29:Z29)</f>
        <v>1464700</v>
      </c>
      <c r="H29" s="57">
        <f>F29-G29-I29</f>
        <v>23765350</v>
      </c>
      <c r="I29" s="50">
        <v>10575500</v>
      </c>
      <c r="J29" s="28"/>
      <c r="K29" s="28"/>
      <c r="L29" s="498" t="s">
        <v>373</v>
      </c>
      <c r="M29" s="28"/>
      <c r="N29" s="28"/>
      <c r="O29" s="28"/>
      <c r="P29" s="28"/>
      <c r="Q29" s="27">
        <f>942000</f>
        <v>942000</v>
      </c>
      <c r="R29" s="28"/>
      <c r="S29" s="27">
        <f>428400</f>
        <v>428400</v>
      </c>
      <c r="T29" s="28"/>
      <c r="U29" s="27"/>
      <c r="V29" s="28"/>
      <c r="W29" s="27">
        <f>21800</f>
        <v>21800</v>
      </c>
      <c r="X29" s="28"/>
      <c r="Y29" s="27">
        <f>72500</f>
        <v>72500</v>
      </c>
      <c r="Z29" s="28"/>
      <c r="AA29" s="27"/>
      <c r="AB29" s="28"/>
      <c r="AC29" s="27"/>
      <c r="AD29" s="28"/>
      <c r="AE29" s="27"/>
      <c r="AF29" s="28"/>
      <c r="AG29" s="27"/>
      <c r="AH29" s="27"/>
      <c r="AI29" s="27"/>
      <c r="AJ29" s="28"/>
      <c r="AK29" s="103"/>
    </row>
    <row r="30" spans="1:37" s="26" customFormat="1" ht="93.75">
      <c r="A30" s="28"/>
      <c r="B30" s="52" t="s">
        <v>167</v>
      </c>
      <c r="C30" s="51" t="s">
        <v>20</v>
      </c>
      <c r="D30" s="50">
        <v>2000000</v>
      </c>
      <c r="E30" s="50"/>
      <c r="F30" s="50">
        <v>2000000</v>
      </c>
      <c r="G30" s="57">
        <f t="shared" si="5"/>
        <v>0</v>
      </c>
      <c r="H30" s="57">
        <f t="shared" si="4"/>
        <v>2000000</v>
      </c>
      <c r="I30" s="50"/>
      <c r="J30" s="28"/>
      <c r="K30" s="28"/>
      <c r="L30" s="498" t="s">
        <v>379</v>
      </c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7"/>
      <c r="X30" s="28"/>
      <c r="Y30" s="28"/>
      <c r="Z30" s="28"/>
      <c r="AA30" s="28"/>
      <c r="AB30" s="28"/>
      <c r="AC30" s="27"/>
      <c r="AD30" s="28"/>
      <c r="AE30" s="27"/>
      <c r="AF30" s="28"/>
      <c r="AG30" s="27"/>
      <c r="AH30" s="27"/>
      <c r="AI30" s="27"/>
      <c r="AJ30" s="28"/>
      <c r="AK30" s="103"/>
    </row>
    <row r="31" spans="1:37" s="26" customFormat="1" ht="69.75">
      <c r="A31" s="28"/>
      <c r="B31" s="143" t="s">
        <v>447</v>
      </c>
      <c r="C31" s="138" t="s">
        <v>168</v>
      </c>
      <c r="D31" s="139">
        <v>997395</v>
      </c>
      <c r="E31" s="139"/>
      <c r="F31" s="139">
        <v>997395</v>
      </c>
      <c r="G31" s="57">
        <f t="shared" si="5"/>
        <v>0</v>
      </c>
      <c r="H31" s="57">
        <f t="shared" si="4"/>
        <v>997395</v>
      </c>
      <c r="I31" s="50"/>
      <c r="J31" s="28"/>
      <c r="K31" s="28"/>
      <c r="L31" s="498" t="s">
        <v>384</v>
      </c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7"/>
      <c r="AD31" s="28"/>
      <c r="AE31" s="27"/>
      <c r="AF31" s="28"/>
      <c r="AG31" s="27"/>
      <c r="AH31" s="27"/>
      <c r="AI31" s="27"/>
      <c r="AJ31" s="28"/>
      <c r="AK31" s="103"/>
    </row>
    <row r="32" spans="1:37" s="26" customFormat="1" ht="131.25">
      <c r="A32" s="28"/>
      <c r="B32" s="52" t="s">
        <v>448</v>
      </c>
      <c r="C32" s="76" t="s">
        <v>47</v>
      </c>
      <c r="D32" s="139"/>
      <c r="E32" s="139">
        <v>2064500</v>
      </c>
      <c r="F32" s="139">
        <v>2064500</v>
      </c>
      <c r="G32" s="57">
        <f t="shared" si="5"/>
        <v>0</v>
      </c>
      <c r="H32" s="57">
        <f t="shared" ref="H32" si="6">F32-G32</f>
        <v>2064500</v>
      </c>
      <c r="I32" s="50"/>
      <c r="J32" s="28"/>
      <c r="K32" s="28"/>
      <c r="L32" s="498" t="s">
        <v>484</v>
      </c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7"/>
      <c r="AD32" s="28"/>
      <c r="AE32" s="27"/>
      <c r="AF32" s="28"/>
      <c r="AG32" s="27"/>
      <c r="AH32" s="27"/>
      <c r="AI32" s="27"/>
      <c r="AJ32" s="28"/>
      <c r="AK32" s="103"/>
    </row>
    <row r="33" spans="1:37" s="26" customFormat="1" ht="46.5">
      <c r="A33" s="28"/>
      <c r="B33" s="52" t="s">
        <v>449</v>
      </c>
      <c r="C33" s="51" t="s">
        <v>20</v>
      </c>
      <c r="D33" s="50">
        <v>930400</v>
      </c>
      <c r="E33" s="50"/>
      <c r="F33" s="50">
        <v>930400</v>
      </c>
      <c r="G33" s="57">
        <f t="shared" si="5"/>
        <v>0</v>
      </c>
      <c r="H33" s="57">
        <f t="shared" ref="H33" si="7">F33-G33</f>
        <v>930400</v>
      </c>
      <c r="I33" s="50"/>
      <c r="J33" s="28"/>
      <c r="K33" s="28"/>
      <c r="L33" s="498" t="s">
        <v>485</v>
      </c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7"/>
      <c r="X33" s="28"/>
      <c r="Y33" s="28"/>
      <c r="Z33" s="28"/>
      <c r="AA33" s="28"/>
      <c r="AB33" s="28"/>
      <c r="AC33" s="27"/>
      <c r="AD33" s="28"/>
      <c r="AE33" s="27"/>
      <c r="AF33" s="28"/>
      <c r="AG33" s="27"/>
      <c r="AH33" s="27"/>
      <c r="AI33" s="27"/>
      <c r="AJ33" s="28"/>
      <c r="AK33" s="103"/>
    </row>
    <row r="34" spans="1:37">
      <c r="A34" s="115">
        <v>8</v>
      </c>
      <c r="B34" s="116" t="s">
        <v>119</v>
      </c>
      <c r="C34" s="121"/>
      <c r="D34" s="118">
        <f>+D37</f>
        <v>0</v>
      </c>
      <c r="E34" s="118">
        <f>SUM(E36:E60)</f>
        <v>92872500</v>
      </c>
      <c r="F34" s="126">
        <f>F36+F37+F38+F39+F40+F41+F42+F43+F44+F45+F46+F47+F48+F49+F50+F51+F52+F53+F54+F55+F56+F57+F58+F59+F60</f>
        <v>92872500</v>
      </c>
      <c r="G34" s="133">
        <f>G36+G37+G38+G39+G40+G41+G42+G43+G44+G45+G46+G47+G48+G49+G50+G51+G52+G53+G54+G55+G56+G57+G58+G59+G60</f>
        <v>10449000</v>
      </c>
      <c r="H34" s="133">
        <f t="shared" ref="H34:I34" si="8">H36+H37+H38+H39+H40+H41+H42+H43+H44+H45+H46+H47+H48+H49+H50+H51+H52+H53+H54+H55+H56+H57+H58+H59+H60</f>
        <v>71128500</v>
      </c>
      <c r="I34" s="133">
        <f t="shared" si="8"/>
        <v>11533000</v>
      </c>
      <c r="J34" s="25"/>
      <c r="K34" s="25"/>
      <c r="L34" s="500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35"/>
      <c r="AD34" s="25"/>
      <c r="AE34" s="35"/>
      <c r="AF34" s="25"/>
      <c r="AG34" s="35"/>
      <c r="AH34" s="35"/>
      <c r="AI34" s="35"/>
      <c r="AJ34" s="25"/>
    </row>
    <row r="35" spans="1:37">
      <c r="A35" s="25"/>
      <c r="B35" s="53" t="s">
        <v>136</v>
      </c>
      <c r="C35" s="48"/>
      <c r="D35" s="60"/>
      <c r="E35" s="60"/>
      <c r="F35" s="60"/>
      <c r="G35" s="35"/>
      <c r="H35" s="35"/>
      <c r="I35" s="46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35"/>
      <c r="AD35" s="25"/>
      <c r="AE35" s="35"/>
      <c r="AF35" s="25"/>
      <c r="AG35" s="35"/>
      <c r="AH35" s="35"/>
      <c r="AI35" s="35"/>
      <c r="AJ35" s="25"/>
    </row>
    <row r="36" spans="1:37" s="77" customFormat="1" ht="46.5">
      <c r="A36" s="78"/>
      <c r="B36" s="33" t="s">
        <v>210</v>
      </c>
      <c r="C36" s="38" t="s">
        <v>169</v>
      </c>
      <c r="D36" s="31"/>
      <c r="E36" s="29">
        <v>1344000</v>
      </c>
      <c r="F36" s="29">
        <v>1344000</v>
      </c>
      <c r="G36" s="30">
        <f t="shared" ref="G36:G51" si="9">SUM(M36:Z36)</f>
        <v>950000</v>
      </c>
      <c r="H36" s="30">
        <f>F36-G36-I36</f>
        <v>0</v>
      </c>
      <c r="I36" s="29">
        <v>394000</v>
      </c>
      <c r="J36" s="55"/>
      <c r="K36" s="55"/>
      <c r="L36" s="498" t="s">
        <v>328</v>
      </c>
      <c r="M36" s="55"/>
      <c r="N36" s="55"/>
      <c r="O36" s="55"/>
      <c r="P36" s="55"/>
      <c r="Q36" s="55"/>
      <c r="R36" s="55"/>
      <c r="S36" s="55"/>
      <c r="T36" s="55"/>
      <c r="U36" s="55"/>
      <c r="V36" s="54">
        <f>950000</f>
        <v>950000</v>
      </c>
      <c r="W36" s="55"/>
      <c r="X36" s="55"/>
      <c r="Y36" s="55"/>
      <c r="Z36" s="55"/>
      <c r="AA36" s="55"/>
      <c r="AB36" s="55"/>
      <c r="AC36" s="54"/>
      <c r="AD36" s="55"/>
      <c r="AE36" s="54"/>
      <c r="AF36" s="55"/>
      <c r="AG36" s="54"/>
      <c r="AH36" s="54"/>
      <c r="AI36" s="54"/>
      <c r="AJ36" s="55"/>
      <c r="AK36" s="98"/>
    </row>
    <row r="37" spans="1:37" s="21" customFormat="1" ht="46.5">
      <c r="A37" s="56"/>
      <c r="B37" s="39" t="s">
        <v>170</v>
      </c>
      <c r="C37" s="51" t="s">
        <v>171</v>
      </c>
      <c r="D37" s="37"/>
      <c r="E37" s="37">
        <v>1734000</v>
      </c>
      <c r="F37" s="37">
        <v>1734000</v>
      </c>
      <c r="G37" s="30">
        <f t="shared" si="9"/>
        <v>1138000</v>
      </c>
      <c r="H37" s="147">
        <f>F37-G37-I37</f>
        <v>0</v>
      </c>
      <c r="I37" s="31">
        <v>596000</v>
      </c>
      <c r="J37" s="56"/>
      <c r="K37" s="56"/>
      <c r="L37" s="498" t="s">
        <v>238</v>
      </c>
      <c r="M37" s="56"/>
      <c r="N37" s="56"/>
      <c r="O37" s="56"/>
      <c r="P37" s="56"/>
      <c r="Q37" s="56"/>
      <c r="R37" s="56"/>
      <c r="S37" s="56"/>
      <c r="T37" s="56"/>
      <c r="U37" s="56"/>
      <c r="V37" s="24">
        <f>1138000</f>
        <v>1138000</v>
      </c>
      <c r="W37" s="56"/>
      <c r="X37" s="56"/>
      <c r="Y37" s="56"/>
      <c r="Z37" s="56"/>
      <c r="AA37" s="56"/>
      <c r="AB37" s="56"/>
      <c r="AC37" s="24"/>
      <c r="AD37" s="56"/>
      <c r="AE37" s="24"/>
      <c r="AF37" s="56"/>
      <c r="AG37" s="24"/>
      <c r="AH37" s="24"/>
      <c r="AI37" s="24"/>
      <c r="AJ37" s="56"/>
      <c r="AK37" s="102"/>
    </row>
    <row r="38" spans="1:37" s="77" customFormat="1" ht="46.5">
      <c r="A38" s="78"/>
      <c r="B38" s="33" t="s">
        <v>172</v>
      </c>
      <c r="C38" s="32" t="s">
        <v>171</v>
      </c>
      <c r="D38" s="101"/>
      <c r="E38" s="31">
        <v>2800000</v>
      </c>
      <c r="F38" s="31">
        <v>2800000</v>
      </c>
      <c r="G38" s="30">
        <v>1815000</v>
      </c>
      <c r="H38" s="30">
        <f>F38-G38-I38</f>
        <v>0</v>
      </c>
      <c r="I38" s="29">
        <v>985000</v>
      </c>
      <c r="J38" s="55"/>
      <c r="K38" s="55"/>
      <c r="L38" s="498" t="s">
        <v>238</v>
      </c>
      <c r="M38" s="55"/>
      <c r="N38" s="55"/>
      <c r="O38" s="55"/>
      <c r="P38" s="55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100"/>
      <c r="AD38" s="54"/>
      <c r="AE38" s="100"/>
      <c r="AF38" s="99"/>
      <c r="AG38" s="100"/>
      <c r="AH38" s="100"/>
      <c r="AI38" s="100"/>
      <c r="AJ38" s="99"/>
      <c r="AK38" s="98"/>
    </row>
    <row r="39" spans="1:37" s="77" customFormat="1" ht="225">
      <c r="A39" s="78"/>
      <c r="B39" s="33" t="s">
        <v>465</v>
      </c>
      <c r="C39" s="32" t="s">
        <v>173</v>
      </c>
      <c r="D39" s="101"/>
      <c r="E39" s="31">
        <v>1196000</v>
      </c>
      <c r="F39" s="31">
        <v>1196000</v>
      </c>
      <c r="G39" s="30">
        <f t="shared" si="9"/>
        <v>0</v>
      </c>
      <c r="H39" s="30">
        <f t="shared" ref="H39:H43" si="10">F39-G39-I39</f>
        <v>1196000</v>
      </c>
      <c r="I39" s="29"/>
      <c r="J39" s="55"/>
      <c r="K39" s="55"/>
      <c r="L39" s="498" t="s">
        <v>486</v>
      </c>
      <c r="M39" s="55"/>
      <c r="N39" s="55"/>
      <c r="O39" s="55"/>
      <c r="P39" s="55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100"/>
      <c r="AD39" s="54"/>
      <c r="AE39" s="100"/>
      <c r="AF39" s="99"/>
      <c r="AG39" s="100"/>
      <c r="AH39" s="100"/>
      <c r="AI39" s="100"/>
      <c r="AJ39" s="99"/>
      <c r="AK39" s="98"/>
    </row>
    <row r="40" spans="1:37" s="77" customFormat="1" ht="69.75">
      <c r="A40" s="78"/>
      <c r="B40" s="33" t="s">
        <v>174</v>
      </c>
      <c r="C40" s="32" t="s">
        <v>175</v>
      </c>
      <c r="D40" s="101"/>
      <c r="E40" s="31">
        <v>1630000</v>
      </c>
      <c r="F40" s="31">
        <v>1630000</v>
      </c>
      <c r="G40" s="30">
        <f t="shared" si="9"/>
        <v>1109000</v>
      </c>
      <c r="H40" s="30">
        <f t="shared" si="10"/>
        <v>0</v>
      </c>
      <c r="I40" s="29">
        <v>521000</v>
      </c>
      <c r="J40" s="55"/>
      <c r="K40" s="55"/>
      <c r="L40" s="498" t="s">
        <v>238</v>
      </c>
      <c r="M40" s="55"/>
      <c r="N40" s="55"/>
      <c r="O40" s="55"/>
      <c r="P40" s="55"/>
      <c r="Q40" s="99"/>
      <c r="R40" s="99"/>
      <c r="S40" s="99"/>
      <c r="T40" s="54">
        <f>1109000</f>
        <v>1109000</v>
      </c>
      <c r="U40" s="99"/>
      <c r="V40" s="99"/>
      <c r="W40" s="99"/>
      <c r="X40" s="99"/>
      <c r="Y40" s="99"/>
      <c r="Z40" s="99"/>
      <c r="AA40" s="99"/>
      <c r="AB40" s="99"/>
      <c r="AC40" s="100"/>
      <c r="AD40" s="54"/>
      <c r="AE40" s="100"/>
      <c r="AF40" s="99"/>
      <c r="AG40" s="100"/>
      <c r="AH40" s="100"/>
      <c r="AI40" s="100"/>
      <c r="AJ40" s="99"/>
      <c r="AK40" s="98"/>
    </row>
    <row r="41" spans="1:37" s="77" customFormat="1" ht="46.5">
      <c r="A41" s="78"/>
      <c r="B41" s="33" t="s">
        <v>176</v>
      </c>
      <c r="C41" s="32" t="s">
        <v>177</v>
      </c>
      <c r="D41" s="101"/>
      <c r="E41" s="31">
        <v>1989000</v>
      </c>
      <c r="F41" s="31">
        <v>1989000</v>
      </c>
      <c r="G41" s="30">
        <f t="shared" si="9"/>
        <v>1150000</v>
      </c>
      <c r="H41" s="30">
        <f t="shared" si="10"/>
        <v>0</v>
      </c>
      <c r="I41" s="29">
        <v>839000</v>
      </c>
      <c r="J41" s="55"/>
      <c r="K41" s="55"/>
      <c r="L41" s="498" t="s">
        <v>238</v>
      </c>
      <c r="M41" s="55"/>
      <c r="N41" s="55"/>
      <c r="O41" s="55"/>
      <c r="P41" s="55"/>
      <c r="Q41" s="99"/>
      <c r="R41" s="99"/>
      <c r="S41" s="99"/>
      <c r="T41" s="99"/>
      <c r="U41" s="99"/>
      <c r="V41" s="99"/>
      <c r="W41" s="99"/>
      <c r="X41" s="54">
        <f>1150000</f>
        <v>1150000</v>
      </c>
      <c r="Y41" s="99"/>
      <c r="Z41" s="99"/>
      <c r="AA41" s="99"/>
      <c r="AB41" s="99"/>
      <c r="AC41" s="100"/>
      <c r="AD41" s="54"/>
      <c r="AE41" s="100"/>
      <c r="AF41" s="99"/>
      <c r="AG41" s="100"/>
      <c r="AH41" s="100"/>
      <c r="AI41" s="100"/>
      <c r="AJ41" s="99"/>
      <c r="AK41" s="98"/>
    </row>
    <row r="42" spans="1:37" s="77" customFormat="1" ht="46.5">
      <c r="A42" s="78"/>
      <c r="B42" s="33" t="s">
        <v>178</v>
      </c>
      <c r="C42" s="32" t="s">
        <v>151</v>
      </c>
      <c r="D42" s="101"/>
      <c r="E42" s="31">
        <v>1135000</v>
      </c>
      <c r="F42" s="31">
        <v>1135000</v>
      </c>
      <c r="G42" s="30">
        <f t="shared" si="9"/>
        <v>0</v>
      </c>
      <c r="H42" s="30">
        <f>F42-G42-I42</f>
        <v>1135000</v>
      </c>
      <c r="I42" s="29"/>
      <c r="J42" s="55"/>
      <c r="K42" s="55"/>
      <c r="L42" s="498" t="s">
        <v>487</v>
      </c>
      <c r="M42" s="55"/>
      <c r="N42" s="55"/>
      <c r="O42" s="55"/>
      <c r="P42" s="55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100"/>
      <c r="AD42" s="54"/>
      <c r="AE42" s="100"/>
      <c r="AF42" s="99"/>
      <c r="AG42" s="100"/>
      <c r="AH42" s="100"/>
      <c r="AI42" s="100"/>
      <c r="AJ42" s="99"/>
      <c r="AK42" s="98"/>
    </row>
    <row r="43" spans="1:37" s="77" customFormat="1" ht="69.75">
      <c r="A43" s="78"/>
      <c r="B43" s="33" t="s">
        <v>179</v>
      </c>
      <c r="C43" s="32" t="s">
        <v>180</v>
      </c>
      <c r="D43" s="101"/>
      <c r="E43" s="31">
        <v>12780000</v>
      </c>
      <c r="F43" s="31">
        <v>12780000</v>
      </c>
      <c r="G43" s="30">
        <f t="shared" si="9"/>
        <v>0</v>
      </c>
      <c r="H43" s="30">
        <f t="shared" si="10"/>
        <v>10591000</v>
      </c>
      <c r="I43" s="29">
        <v>2189000</v>
      </c>
      <c r="J43" s="55"/>
      <c r="K43" s="55"/>
      <c r="L43" s="498" t="s">
        <v>349</v>
      </c>
      <c r="M43" s="55"/>
      <c r="N43" s="55"/>
      <c r="O43" s="55"/>
      <c r="P43" s="55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100"/>
      <c r="AD43" s="54"/>
      <c r="AE43" s="100"/>
      <c r="AF43" s="99"/>
      <c r="AG43" s="100"/>
      <c r="AH43" s="100"/>
      <c r="AI43" s="100"/>
      <c r="AJ43" s="99"/>
      <c r="AK43" s="98"/>
    </row>
    <row r="44" spans="1:37" s="77" customFormat="1" ht="46.5">
      <c r="A44" s="78"/>
      <c r="B44" s="33" t="s">
        <v>181</v>
      </c>
      <c r="C44" s="32" t="s">
        <v>180</v>
      </c>
      <c r="D44" s="101"/>
      <c r="E44" s="31">
        <v>1246000</v>
      </c>
      <c r="F44" s="31">
        <v>1246000</v>
      </c>
      <c r="G44" s="30">
        <f t="shared" si="9"/>
        <v>772000</v>
      </c>
      <c r="H44" s="30">
        <f>F44-G44-I44</f>
        <v>0</v>
      </c>
      <c r="I44" s="29">
        <v>474000</v>
      </c>
      <c r="J44" s="55"/>
      <c r="K44" s="55"/>
      <c r="L44" s="498" t="s">
        <v>238</v>
      </c>
      <c r="M44" s="55"/>
      <c r="N44" s="55"/>
      <c r="O44" s="55"/>
      <c r="P44" s="55"/>
      <c r="Q44" s="99"/>
      <c r="R44" s="99"/>
      <c r="S44" s="99"/>
      <c r="T44" s="99"/>
      <c r="U44" s="99"/>
      <c r="V44" s="54">
        <f>772000</f>
        <v>772000</v>
      </c>
      <c r="W44" s="99"/>
      <c r="X44" s="99"/>
      <c r="Y44" s="99"/>
      <c r="Z44" s="99"/>
      <c r="AA44" s="99"/>
      <c r="AB44" s="99"/>
      <c r="AC44" s="100"/>
      <c r="AD44" s="54"/>
      <c r="AE44" s="100"/>
      <c r="AF44" s="99"/>
      <c r="AG44" s="100"/>
      <c r="AH44" s="100"/>
      <c r="AI44" s="100"/>
      <c r="AJ44" s="99"/>
      <c r="AK44" s="98"/>
    </row>
    <row r="45" spans="1:37" s="77" customFormat="1" ht="75">
      <c r="A45" s="78"/>
      <c r="B45" s="33" t="s">
        <v>182</v>
      </c>
      <c r="C45" s="32" t="s">
        <v>183</v>
      </c>
      <c r="D45" s="101"/>
      <c r="E45" s="31">
        <v>6968000</v>
      </c>
      <c r="F45" s="31">
        <v>6968000</v>
      </c>
      <c r="G45" s="30">
        <f t="shared" si="9"/>
        <v>0</v>
      </c>
      <c r="H45" s="30">
        <f>F45-G45-I45</f>
        <v>4870000</v>
      </c>
      <c r="I45" s="29">
        <v>2098000</v>
      </c>
      <c r="J45" s="55"/>
      <c r="K45" s="55"/>
      <c r="L45" s="498" t="s">
        <v>488</v>
      </c>
      <c r="M45" s="55"/>
      <c r="N45" s="55"/>
      <c r="O45" s="55"/>
      <c r="P45" s="55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100"/>
      <c r="AD45" s="54"/>
      <c r="AE45" s="100"/>
      <c r="AF45" s="99"/>
      <c r="AG45" s="100"/>
      <c r="AH45" s="100"/>
      <c r="AI45" s="100"/>
      <c r="AJ45" s="99"/>
      <c r="AK45" s="98"/>
    </row>
    <row r="46" spans="1:37" s="77" customFormat="1" ht="50.25" customHeight="1">
      <c r="A46" s="78"/>
      <c r="B46" s="33" t="s">
        <v>184</v>
      </c>
      <c r="C46" s="32" t="s">
        <v>185</v>
      </c>
      <c r="D46" s="101"/>
      <c r="E46" s="31">
        <v>2286000</v>
      </c>
      <c r="F46" s="31">
        <v>2286000</v>
      </c>
      <c r="G46" s="30">
        <f t="shared" si="9"/>
        <v>0</v>
      </c>
      <c r="H46" s="30">
        <f t="shared" ref="H46:H47" si="11">F46-G46-I46</f>
        <v>1750000</v>
      </c>
      <c r="I46" s="29">
        <v>536000</v>
      </c>
      <c r="J46" s="55"/>
      <c r="K46" s="55"/>
      <c r="L46" s="498" t="s">
        <v>291</v>
      </c>
      <c r="M46" s="55"/>
      <c r="N46" s="55"/>
      <c r="O46" s="55"/>
      <c r="P46" s="55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100"/>
      <c r="AD46" s="54"/>
      <c r="AE46" s="100"/>
      <c r="AF46" s="99"/>
      <c r="AG46" s="100"/>
      <c r="AH46" s="100"/>
      <c r="AI46" s="100"/>
      <c r="AJ46" s="99"/>
      <c r="AK46" s="98"/>
    </row>
    <row r="47" spans="1:37" s="77" customFormat="1" ht="46.5">
      <c r="A47" s="78"/>
      <c r="B47" s="33" t="s">
        <v>212</v>
      </c>
      <c r="C47" s="32" t="s">
        <v>143</v>
      </c>
      <c r="D47" s="101"/>
      <c r="E47" s="31">
        <v>2427000</v>
      </c>
      <c r="F47" s="31">
        <v>2427000</v>
      </c>
      <c r="G47" s="30">
        <f t="shared" si="9"/>
        <v>0</v>
      </c>
      <c r="H47" s="30">
        <f t="shared" si="11"/>
        <v>1666000</v>
      </c>
      <c r="I47" s="29">
        <v>761000</v>
      </c>
      <c r="J47" s="55"/>
      <c r="K47" s="55"/>
      <c r="L47" s="498" t="s">
        <v>489</v>
      </c>
      <c r="M47" s="55"/>
      <c r="N47" s="55"/>
      <c r="O47" s="55"/>
      <c r="P47" s="55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100"/>
      <c r="AD47" s="54"/>
      <c r="AE47" s="100"/>
      <c r="AF47" s="99"/>
      <c r="AG47" s="100"/>
      <c r="AH47" s="100"/>
      <c r="AI47" s="100"/>
      <c r="AJ47" s="99"/>
      <c r="AK47" s="98"/>
    </row>
    <row r="48" spans="1:37" s="77" customFormat="1" ht="69.75">
      <c r="A48" s="78"/>
      <c r="B48" s="33" t="s">
        <v>504</v>
      </c>
      <c r="C48" s="32" t="s">
        <v>143</v>
      </c>
      <c r="D48" s="101"/>
      <c r="E48" s="31">
        <v>1543000</v>
      </c>
      <c r="F48" s="31">
        <v>1543000</v>
      </c>
      <c r="G48" s="30">
        <f t="shared" si="9"/>
        <v>1050000</v>
      </c>
      <c r="H48" s="30">
        <f>F48-G48-I48</f>
        <v>0</v>
      </c>
      <c r="I48" s="29">
        <v>493000</v>
      </c>
      <c r="J48" s="55"/>
      <c r="K48" s="55"/>
      <c r="L48" s="498" t="s">
        <v>238</v>
      </c>
      <c r="M48" s="55"/>
      <c r="N48" s="55"/>
      <c r="O48" s="55"/>
      <c r="P48" s="55"/>
      <c r="Q48" s="99"/>
      <c r="R48" s="99"/>
      <c r="S48" s="99"/>
      <c r="T48" s="99"/>
      <c r="U48" s="99"/>
      <c r="V48" s="24">
        <f>1050000</f>
        <v>1050000</v>
      </c>
      <c r="W48" s="99"/>
      <c r="X48" s="99"/>
      <c r="Y48" s="99"/>
      <c r="Z48" s="99"/>
      <c r="AA48" s="99"/>
      <c r="AB48" s="99"/>
      <c r="AC48" s="100"/>
      <c r="AD48" s="54"/>
      <c r="AE48" s="100"/>
      <c r="AF48" s="99"/>
      <c r="AG48" s="100"/>
      <c r="AH48" s="100"/>
      <c r="AI48" s="100"/>
      <c r="AJ48" s="99"/>
      <c r="AK48" s="98"/>
    </row>
    <row r="49" spans="1:37" s="77" customFormat="1" ht="69.75">
      <c r="A49" s="78"/>
      <c r="B49" s="33" t="s">
        <v>186</v>
      </c>
      <c r="C49" s="506" t="s">
        <v>154</v>
      </c>
      <c r="D49" s="101"/>
      <c r="E49" s="31">
        <v>1825000</v>
      </c>
      <c r="F49" s="31">
        <v>1825000</v>
      </c>
      <c r="G49" s="30">
        <v>1825000</v>
      </c>
      <c r="H49" s="30">
        <f>F49-G49</f>
        <v>0</v>
      </c>
      <c r="I49" s="29">
        <v>238000</v>
      </c>
      <c r="J49" s="55"/>
      <c r="K49" s="55"/>
      <c r="L49" s="498" t="s">
        <v>238</v>
      </c>
      <c r="M49" s="55"/>
      <c r="N49" s="55"/>
      <c r="O49" s="55"/>
      <c r="P49" s="55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100"/>
      <c r="AD49" s="54"/>
      <c r="AE49" s="100"/>
      <c r="AF49" s="99"/>
      <c r="AG49" s="100"/>
      <c r="AH49" s="100"/>
      <c r="AI49" s="100"/>
      <c r="AJ49" s="99"/>
      <c r="AK49" s="98"/>
    </row>
    <row r="50" spans="1:37" s="77" customFormat="1" ht="56.25">
      <c r="A50" s="78"/>
      <c r="B50" s="33" t="s">
        <v>187</v>
      </c>
      <c r="C50" s="506" t="s">
        <v>154</v>
      </c>
      <c r="D50" s="101"/>
      <c r="E50" s="31">
        <v>3547000</v>
      </c>
      <c r="F50" s="31">
        <v>3547000</v>
      </c>
      <c r="G50" s="30">
        <f t="shared" si="9"/>
        <v>0</v>
      </c>
      <c r="H50" s="30">
        <f t="shared" ref="H50:H60" si="12">F50-G50-I50</f>
        <v>2500000</v>
      </c>
      <c r="I50" s="29">
        <v>1047000</v>
      </c>
      <c r="J50" s="55"/>
      <c r="K50" s="55"/>
      <c r="L50" s="498" t="s">
        <v>490</v>
      </c>
      <c r="M50" s="55"/>
      <c r="N50" s="55"/>
      <c r="O50" s="55"/>
      <c r="P50" s="55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100"/>
      <c r="AD50" s="54"/>
      <c r="AE50" s="100"/>
      <c r="AF50" s="99"/>
      <c r="AG50" s="100"/>
      <c r="AH50" s="100"/>
      <c r="AI50" s="100"/>
      <c r="AJ50" s="99"/>
      <c r="AK50" s="98"/>
    </row>
    <row r="51" spans="1:37" s="77" customFormat="1" ht="75">
      <c r="A51" s="78"/>
      <c r="B51" s="33" t="s">
        <v>188</v>
      </c>
      <c r="C51" s="32" t="s">
        <v>189</v>
      </c>
      <c r="D51" s="101"/>
      <c r="E51" s="31">
        <v>30000000</v>
      </c>
      <c r="F51" s="31">
        <v>30000000</v>
      </c>
      <c r="G51" s="30">
        <f t="shared" si="9"/>
        <v>0</v>
      </c>
      <c r="H51" s="30">
        <f t="shared" si="12"/>
        <v>30000000</v>
      </c>
      <c r="I51" s="29"/>
      <c r="J51" s="55"/>
      <c r="K51" s="55"/>
      <c r="L51" s="498" t="s">
        <v>491</v>
      </c>
      <c r="M51" s="55"/>
      <c r="N51" s="55"/>
      <c r="O51" s="55"/>
      <c r="P51" s="55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100"/>
      <c r="AD51" s="54"/>
      <c r="AE51" s="100"/>
      <c r="AF51" s="99"/>
      <c r="AG51" s="100"/>
      <c r="AH51" s="100"/>
      <c r="AI51" s="100"/>
      <c r="AJ51" s="99"/>
      <c r="AK51" s="98"/>
    </row>
    <row r="52" spans="1:37" s="77" customFormat="1" ht="46.5">
      <c r="A52" s="78"/>
      <c r="B52" s="33" t="s">
        <v>190</v>
      </c>
      <c r="C52" s="32" t="s">
        <v>175</v>
      </c>
      <c r="D52" s="101"/>
      <c r="E52" s="31">
        <v>1000000</v>
      </c>
      <c r="F52" s="31">
        <v>1000000</v>
      </c>
      <c r="G52" s="30">
        <f>SUM(M52:Z52)</f>
        <v>640000</v>
      </c>
      <c r="H52" s="30">
        <f t="shared" si="12"/>
        <v>0</v>
      </c>
      <c r="I52" s="29">
        <v>360000</v>
      </c>
      <c r="J52" s="55"/>
      <c r="K52" s="55"/>
      <c r="L52" s="498" t="s">
        <v>238</v>
      </c>
      <c r="M52" s="55"/>
      <c r="N52" s="55"/>
      <c r="O52" s="55"/>
      <c r="P52" s="55"/>
      <c r="Q52" s="99"/>
      <c r="R52" s="99"/>
      <c r="S52" s="99"/>
      <c r="T52" s="99"/>
      <c r="U52" s="99"/>
      <c r="V52" s="99"/>
      <c r="W52" s="99"/>
      <c r="X52" s="99"/>
      <c r="Y52" s="99"/>
      <c r="Z52" s="24">
        <v>640000</v>
      </c>
      <c r="AA52" s="99"/>
      <c r="AB52" s="99"/>
      <c r="AC52" s="100"/>
      <c r="AD52" s="54"/>
      <c r="AE52" s="100"/>
      <c r="AF52" s="99"/>
      <c r="AG52" s="100"/>
      <c r="AH52" s="100"/>
      <c r="AI52" s="100"/>
      <c r="AJ52" s="99"/>
      <c r="AK52" s="98"/>
    </row>
    <row r="53" spans="1:37" s="77" customFormat="1" ht="46.5">
      <c r="A53" s="78"/>
      <c r="B53" s="33" t="s">
        <v>191</v>
      </c>
      <c r="C53" s="32" t="s">
        <v>128</v>
      </c>
      <c r="D53" s="101"/>
      <c r="E53" s="31">
        <v>2500000</v>
      </c>
      <c r="F53" s="31">
        <v>2500000</v>
      </c>
      <c r="G53" s="30">
        <f t="shared" ref="G53:G60" si="13">SUM(M53:Z53)</f>
        <v>0</v>
      </c>
      <c r="H53" s="30">
        <f t="shared" si="12"/>
        <v>2498000</v>
      </c>
      <c r="I53" s="29">
        <v>2000</v>
      </c>
      <c r="J53" s="55"/>
      <c r="K53" s="55"/>
      <c r="L53" s="498" t="s">
        <v>349</v>
      </c>
      <c r="M53" s="55"/>
      <c r="N53" s="55"/>
      <c r="O53" s="55"/>
      <c r="P53" s="55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100"/>
      <c r="AD53" s="54"/>
      <c r="AE53" s="100"/>
      <c r="AF53" s="99"/>
      <c r="AG53" s="100"/>
      <c r="AH53" s="100"/>
      <c r="AI53" s="100"/>
      <c r="AJ53" s="99"/>
      <c r="AK53" s="98"/>
    </row>
    <row r="54" spans="1:37" s="77" customFormat="1" ht="56.25">
      <c r="A54" s="78"/>
      <c r="B54" s="33" t="s">
        <v>460</v>
      </c>
      <c r="C54" s="78" t="s">
        <v>63</v>
      </c>
      <c r="D54" s="475"/>
      <c r="E54" s="475">
        <v>498000</v>
      </c>
      <c r="F54" s="475">
        <v>498000</v>
      </c>
      <c r="G54" s="30">
        <f t="shared" si="13"/>
        <v>0</v>
      </c>
      <c r="H54" s="30">
        <f t="shared" si="12"/>
        <v>498000</v>
      </c>
      <c r="I54" s="29"/>
      <c r="J54" s="55"/>
      <c r="K54" s="55"/>
      <c r="L54" s="498" t="s">
        <v>492</v>
      </c>
      <c r="M54" s="55"/>
      <c r="N54" s="55"/>
      <c r="O54" s="55"/>
      <c r="P54" s="55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100"/>
      <c r="AD54" s="54"/>
      <c r="AE54" s="100"/>
      <c r="AF54" s="99"/>
      <c r="AG54" s="100"/>
      <c r="AH54" s="100"/>
      <c r="AI54" s="100"/>
      <c r="AJ54" s="99"/>
      <c r="AK54" s="98"/>
    </row>
    <row r="55" spans="1:37" s="77" customFormat="1" ht="56.25">
      <c r="A55" s="78"/>
      <c r="B55" s="33" t="s">
        <v>459</v>
      </c>
      <c r="C55" s="78" t="s">
        <v>63</v>
      </c>
      <c r="D55" s="475"/>
      <c r="E55" s="475">
        <v>498000</v>
      </c>
      <c r="F55" s="475">
        <v>498000</v>
      </c>
      <c r="G55" s="30">
        <f t="shared" si="13"/>
        <v>0</v>
      </c>
      <c r="H55" s="30">
        <f t="shared" si="12"/>
        <v>498000</v>
      </c>
      <c r="I55" s="29"/>
      <c r="J55" s="55"/>
      <c r="K55" s="55"/>
      <c r="L55" s="498" t="s">
        <v>492</v>
      </c>
      <c r="M55" s="55"/>
      <c r="N55" s="55"/>
      <c r="O55" s="55"/>
      <c r="P55" s="55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100"/>
      <c r="AD55" s="54"/>
      <c r="AE55" s="100"/>
      <c r="AF55" s="99"/>
      <c r="AG55" s="100"/>
      <c r="AH55" s="100"/>
      <c r="AI55" s="100"/>
      <c r="AJ55" s="99"/>
      <c r="AK55" s="98"/>
    </row>
    <row r="56" spans="1:37" s="77" customFormat="1" ht="46.5">
      <c r="A56" s="78"/>
      <c r="B56" s="33" t="s">
        <v>507</v>
      </c>
      <c r="C56" s="78" t="s">
        <v>63</v>
      </c>
      <c r="D56" s="475"/>
      <c r="E56" s="475">
        <v>490000</v>
      </c>
      <c r="F56" s="475">
        <v>490000</v>
      </c>
      <c r="G56" s="30">
        <f t="shared" si="13"/>
        <v>0</v>
      </c>
      <c r="H56" s="30">
        <f t="shared" si="12"/>
        <v>490000</v>
      </c>
      <c r="I56" s="29"/>
      <c r="J56" s="55"/>
      <c r="K56" s="55"/>
      <c r="L56" s="498" t="s">
        <v>493</v>
      </c>
      <c r="M56" s="55"/>
      <c r="N56" s="55"/>
      <c r="O56" s="55"/>
      <c r="P56" s="55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100"/>
      <c r="AD56" s="54"/>
      <c r="AE56" s="100"/>
      <c r="AF56" s="99"/>
      <c r="AG56" s="100"/>
      <c r="AH56" s="100"/>
      <c r="AI56" s="100"/>
      <c r="AJ56" s="99"/>
      <c r="AK56" s="98"/>
    </row>
    <row r="57" spans="1:37" s="77" customFormat="1" ht="187.5">
      <c r="A57" s="78"/>
      <c r="B57" s="33" t="s">
        <v>506</v>
      </c>
      <c r="C57" s="78" t="s">
        <v>315</v>
      </c>
      <c r="D57" s="475"/>
      <c r="E57" s="475">
        <v>9518000</v>
      </c>
      <c r="F57" s="475">
        <v>9518000</v>
      </c>
      <c r="G57" s="30">
        <f t="shared" si="13"/>
        <v>0</v>
      </c>
      <c r="H57" s="30">
        <f t="shared" si="12"/>
        <v>9518000</v>
      </c>
      <c r="I57" s="29"/>
      <c r="J57" s="55"/>
      <c r="K57" s="55"/>
      <c r="L57" s="498" t="s">
        <v>505</v>
      </c>
      <c r="M57" s="55"/>
      <c r="N57" s="55"/>
      <c r="O57" s="55"/>
      <c r="P57" s="55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100"/>
      <c r="AD57" s="54"/>
      <c r="AE57" s="100"/>
      <c r="AF57" s="99"/>
      <c r="AG57" s="100"/>
      <c r="AH57" s="100"/>
      <c r="AI57" s="100"/>
      <c r="AJ57" s="99"/>
      <c r="AK57" s="98"/>
    </row>
    <row r="58" spans="1:37" s="77" customFormat="1" ht="150">
      <c r="A58" s="78"/>
      <c r="B58" s="33" t="s">
        <v>461</v>
      </c>
      <c r="C58" s="473" t="s">
        <v>458</v>
      </c>
      <c r="D58" s="475"/>
      <c r="E58" s="475">
        <v>1818000</v>
      </c>
      <c r="F58" s="475">
        <v>1818000</v>
      </c>
      <c r="G58" s="30">
        <f t="shared" si="13"/>
        <v>0</v>
      </c>
      <c r="H58" s="30">
        <f t="shared" si="12"/>
        <v>1818000</v>
      </c>
      <c r="I58" s="29"/>
      <c r="J58" s="55"/>
      <c r="K58" s="55"/>
      <c r="L58" s="498" t="s">
        <v>495</v>
      </c>
      <c r="M58" s="55"/>
      <c r="N58" s="55"/>
      <c r="O58" s="55"/>
      <c r="P58" s="55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100"/>
      <c r="AD58" s="54"/>
      <c r="AE58" s="100"/>
      <c r="AF58" s="99"/>
      <c r="AG58" s="100"/>
      <c r="AH58" s="100"/>
      <c r="AI58" s="100"/>
      <c r="AJ58" s="99"/>
      <c r="AK58" s="98"/>
    </row>
    <row r="59" spans="1:37" s="77" customFormat="1" ht="69.75">
      <c r="A59" s="78"/>
      <c r="B59" s="33" t="s">
        <v>462</v>
      </c>
      <c r="C59" s="78" t="s">
        <v>59</v>
      </c>
      <c r="D59" s="475"/>
      <c r="E59" s="475">
        <v>764500</v>
      </c>
      <c r="F59" s="475">
        <v>764500</v>
      </c>
      <c r="G59" s="30">
        <f t="shared" si="13"/>
        <v>0</v>
      </c>
      <c r="H59" s="30">
        <f t="shared" si="12"/>
        <v>764500</v>
      </c>
      <c r="I59" s="29"/>
      <c r="J59" s="55"/>
      <c r="K59" s="55"/>
      <c r="L59" s="498" t="s">
        <v>494</v>
      </c>
      <c r="M59" s="55"/>
      <c r="N59" s="55"/>
      <c r="O59" s="55"/>
      <c r="P59" s="55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100"/>
      <c r="AD59" s="54"/>
      <c r="AE59" s="100"/>
      <c r="AF59" s="99"/>
      <c r="AG59" s="100"/>
      <c r="AH59" s="100"/>
      <c r="AI59" s="100"/>
      <c r="AJ59" s="99"/>
      <c r="AK59" s="98"/>
    </row>
    <row r="60" spans="1:37" s="77" customFormat="1" ht="168.75">
      <c r="A60" s="78"/>
      <c r="B60" s="33" t="s">
        <v>463</v>
      </c>
      <c r="C60" s="78" t="s">
        <v>64</v>
      </c>
      <c r="D60" s="475"/>
      <c r="E60" s="475">
        <v>1336000</v>
      </c>
      <c r="F60" s="475">
        <v>1336000</v>
      </c>
      <c r="G60" s="30">
        <f t="shared" si="13"/>
        <v>0</v>
      </c>
      <c r="H60" s="30">
        <f t="shared" si="12"/>
        <v>1336000</v>
      </c>
      <c r="I60" s="29"/>
      <c r="J60" s="55"/>
      <c r="K60" s="55"/>
      <c r="L60" s="498" t="s">
        <v>496</v>
      </c>
      <c r="M60" s="55"/>
      <c r="N60" s="55"/>
      <c r="O60" s="55"/>
      <c r="P60" s="55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100"/>
      <c r="AD60" s="54"/>
      <c r="AE60" s="100"/>
      <c r="AF60" s="99"/>
      <c r="AG60" s="100"/>
      <c r="AH60" s="100"/>
      <c r="AI60" s="100"/>
      <c r="AJ60" s="99"/>
      <c r="AK60" s="98"/>
    </row>
    <row r="61" spans="1:37" s="77" customFormat="1">
      <c r="A61" s="499"/>
      <c r="B61" s="507" t="s">
        <v>0</v>
      </c>
      <c r="C61" s="508" t="s">
        <v>138</v>
      </c>
      <c r="D61" s="509">
        <v>9000000</v>
      </c>
      <c r="E61" s="510"/>
      <c r="F61" s="511">
        <v>9000000</v>
      </c>
      <c r="G61" s="478">
        <f>'เบิกจ่าย งบปี 62'!I225</f>
        <v>2648349.38</v>
      </c>
      <c r="H61" s="478">
        <f>F61-G61</f>
        <v>6351650.6200000001</v>
      </c>
      <c r="I61" s="512"/>
      <c r="J61" s="55"/>
      <c r="K61" s="55"/>
      <c r="L61" s="499"/>
      <c r="M61" s="54">
        <f>30675+5500+7000+11000+20000+25000</f>
        <v>99175</v>
      </c>
      <c r="N61" s="55"/>
      <c r="O61" s="54">
        <f>32550+135287+280+875+1400+60106.7+1575+1130+1400+7000+5340+25000+7200+20000</f>
        <v>299143.7</v>
      </c>
      <c r="P61" s="55"/>
      <c r="Q61" s="54">
        <f>144000+60724.9+7000+2440+45000+160000+120000</f>
        <v>539164.9</v>
      </c>
      <c r="R61" s="99"/>
      <c r="S61" s="54">
        <f>143532+7000+1050+1225+1400+525+53286.8+525+1750+1575+7000+1050+31402.39+45000+120000+81000</f>
        <v>497321.19</v>
      </c>
      <c r="T61" s="99"/>
      <c r="U61" s="54">
        <f>110532+11800+50102.2+1400+1575+700+2450+1050+10148.19+7000+45000</f>
        <v>241757.39</v>
      </c>
      <c r="V61" s="99"/>
      <c r="W61" s="54">
        <f>29350+29350+121000+2450+9300+24380+2889+26780+13704.2+99500+53659+875+1050+7000+1050+45000+499000</f>
        <v>966337.2</v>
      </c>
      <c r="X61" s="99"/>
      <c r="Y61" s="99"/>
      <c r="Z61" s="99"/>
      <c r="AA61" s="99"/>
      <c r="AB61" s="99"/>
      <c r="AC61" s="100"/>
      <c r="AD61" s="54"/>
      <c r="AE61" s="100"/>
      <c r="AF61" s="99"/>
      <c r="AG61" s="100"/>
      <c r="AH61" s="100"/>
      <c r="AI61" s="100"/>
      <c r="AJ61" s="99"/>
      <c r="AK61" s="98"/>
    </row>
    <row r="62" spans="1:37">
      <c r="A62" s="553" t="s">
        <v>464</v>
      </c>
      <c r="B62" s="553"/>
      <c r="C62" s="513"/>
      <c r="D62" s="514">
        <f>D8+D19+D34+D26+D23+D61</f>
        <v>23827795</v>
      </c>
      <c r="E62" s="514">
        <f>E8+E19+E34+E26</f>
        <v>231524500</v>
      </c>
      <c r="F62" s="129">
        <f>F8+F19+F23+F26+F34+F61</f>
        <v>255352295</v>
      </c>
      <c r="G62" s="515">
        <f>G61+G34+G26+G23+G19+G8</f>
        <v>27028808.239999998</v>
      </c>
      <c r="H62" s="515">
        <f t="shared" ref="H62:I62" si="14">H61+H34+H26+H23+H19+H8</f>
        <v>187751920.12</v>
      </c>
      <c r="I62" s="515">
        <f t="shared" si="14"/>
        <v>24984066.640000001</v>
      </c>
      <c r="J62" s="25"/>
      <c r="K62" s="25"/>
      <c r="L62" s="516"/>
      <c r="M62" s="97">
        <f t="shared" ref="M62:AB62" si="15">SUM(M6:M61)</f>
        <v>99175</v>
      </c>
      <c r="N62" s="97">
        <f t="shared" si="15"/>
        <v>0</v>
      </c>
      <c r="O62" s="97">
        <f t="shared" si="15"/>
        <v>400943.7</v>
      </c>
      <c r="P62" s="97">
        <f t="shared" si="15"/>
        <v>0</v>
      </c>
      <c r="Q62" s="97">
        <f t="shared" si="15"/>
        <v>2267664.9</v>
      </c>
      <c r="R62" s="97">
        <f t="shared" si="15"/>
        <v>0</v>
      </c>
      <c r="S62" s="97">
        <f t="shared" si="15"/>
        <v>2115771.19</v>
      </c>
      <c r="T62" s="97">
        <f t="shared" si="15"/>
        <v>1109000</v>
      </c>
      <c r="U62" s="97">
        <f t="shared" si="15"/>
        <v>1659957.3900000001</v>
      </c>
      <c r="V62" s="97">
        <f t="shared" si="15"/>
        <v>8613515.8599999994</v>
      </c>
      <c r="W62" s="97">
        <f t="shared" si="15"/>
        <v>1805662.2</v>
      </c>
      <c r="X62" s="97">
        <f t="shared" si="15"/>
        <v>2827900</v>
      </c>
      <c r="Y62" s="97">
        <f t="shared" si="15"/>
        <v>1843768</v>
      </c>
      <c r="Z62" s="97">
        <f t="shared" si="15"/>
        <v>640000</v>
      </c>
      <c r="AA62" s="97">
        <f t="shared" si="15"/>
        <v>0</v>
      </c>
      <c r="AB62" s="97">
        <f t="shared" si="15"/>
        <v>0</v>
      </c>
      <c r="AC62" s="97">
        <f t="shared" ref="AC62:AJ62" si="16">SUM(AC6:AC38)</f>
        <v>0</v>
      </c>
      <c r="AD62" s="97">
        <f t="shared" si="16"/>
        <v>0</v>
      </c>
      <c r="AE62" s="97">
        <f t="shared" si="16"/>
        <v>0</v>
      </c>
      <c r="AF62" s="97">
        <f t="shared" si="16"/>
        <v>0</v>
      </c>
      <c r="AG62" s="97">
        <f t="shared" si="16"/>
        <v>0</v>
      </c>
      <c r="AH62" s="97">
        <f t="shared" si="16"/>
        <v>0</v>
      </c>
      <c r="AI62" s="97">
        <f t="shared" si="16"/>
        <v>0</v>
      </c>
      <c r="AJ62" s="97">
        <f t="shared" si="16"/>
        <v>0</v>
      </c>
    </row>
    <row r="63" spans="1:37" s="68" customFormat="1">
      <c r="B63" s="74"/>
      <c r="C63" s="73"/>
      <c r="D63" s="72"/>
      <c r="E63" s="541"/>
      <c r="F63" s="541"/>
      <c r="G63" s="89"/>
      <c r="H63" s="91"/>
      <c r="I63" s="6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80"/>
      <c r="AD63" s="79"/>
      <c r="AE63" s="80"/>
      <c r="AF63" s="79"/>
      <c r="AG63" s="80"/>
      <c r="AH63" s="80"/>
      <c r="AI63" s="80"/>
      <c r="AJ63" s="79"/>
      <c r="AK63" s="79"/>
    </row>
    <row r="64" spans="1:37" s="68" customFormat="1">
      <c r="B64" s="84"/>
      <c r="C64" s="82"/>
      <c r="D64" s="82"/>
      <c r="E64" s="541"/>
      <c r="F64" s="541"/>
      <c r="G64" s="89"/>
      <c r="H64" s="88"/>
      <c r="I64" s="70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80"/>
      <c r="AD64" s="79"/>
      <c r="AE64" s="80"/>
      <c r="AF64" s="79"/>
      <c r="AG64" s="80"/>
      <c r="AH64" s="80"/>
      <c r="AI64" s="80"/>
      <c r="AJ64" s="79"/>
      <c r="AK64" s="79"/>
    </row>
    <row r="65" spans="2:37" s="68" customFormat="1">
      <c r="B65" s="84"/>
      <c r="C65" s="90"/>
      <c r="D65" s="82"/>
      <c r="E65" s="82"/>
      <c r="F65" s="87"/>
      <c r="G65" s="81"/>
      <c r="H65" s="86"/>
      <c r="I65" s="70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80"/>
      <c r="AD65" s="79"/>
      <c r="AE65" s="80"/>
      <c r="AF65" s="79"/>
      <c r="AG65" s="80"/>
      <c r="AH65" s="80"/>
      <c r="AI65" s="80"/>
      <c r="AJ65" s="79"/>
      <c r="AK65" s="79"/>
    </row>
    <row r="66" spans="2:37" s="68" customFormat="1">
      <c r="B66" s="84"/>
      <c r="C66" s="83"/>
      <c r="D66" s="82"/>
      <c r="E66" s="82"/>
      <c r="F66" s="85"/>
      <c r="G66" s="81"/>
      <c r="H66" s="81"/>
      <c r="I66" s="70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80"/>
      <c r="AD66" s="79"/>
      <c r="AE66" s="80"/>
      <c r="AF66" s="79"/>
      <c r="AG66" s="80"/>
      <c r="AH66" s="80"/>
      <c r="AI66" s="80"/>
      <c r="AJ66" s="79"/>
      <c r="AK66" s="79"/>
    </row>
    <row r="67" spans="2:37" s="68" customFormat="1">
      <c r="B67" s="84"/>
      <c r="C67" s="83"/>
      <c r="D67" s="82"/>
      <c r="E67" s="82"/>
      <c r="F67" s="82"/>
      <c r="G67" s="81"/>
      <c r="H67" s="81"/>
      <c r="I67" s="70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80"/>
      <c r="AD67" s="79"/>
      <c r="AE67" s="80"/>
      <c r="AF67" s="79"/>
      <c r="AG67" s="80"/>
      <c r="AH67" s="80"/>
      <c r="AI67" s="80"/>
      <c r="AJ67" s="79"/>
      <c r="AK67" s="79"/>
    </row>
    <row r="68" spans="2:37" s="68" customFormat="1">
      <c r="B68" s="84"/>
      <c r="C68" s="83"/>
      <c r="D68" s="82"/>
      <c r="E68" s="82"/>
      <c r="F68" s="82"/>
      <c r="G68" s="81"/>
      <c r="H68" s="81"/>
      <c r="I68" s="70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80"/>
      <c r="AD68" s="79"/>
      <c r="AE68" s="80"/>
      <c r="AF68" s="79"/>
      <c r="AG68" s="80"/>
      <c r="AH68" s="80"/>
      <c r="AI68" s="80"/>
      <c r="AJ68" s="79"/>
      <c r="AK68" s="79"/>
    </row>
    <row r="69" spans="2:37" s="68" customFormat="1">
      <c r="B69" s="74"/>
      <c r="C69" s="73"/>
      <c r="D69" s="72"/>
      <c r="E69" s="72"/>
      <c r="F69" s="72"/>
      <c r="G69" s="71"/>
      <c r="H69" s="71"/>
      <c r="I69" s="6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80"/>
      <c r="AD69" s="79"/>
      <c r="AE69" s="80"/>
      <c r="AF69" s="79"/>
      <c r="AG69" s="80"/>
      <c r="AH69" s="80"/>
      <c r="AI69" s="80"/>
      <c r="AJ69" s="79"/>
      <c r="AK69" s="79"/>
    </row>
    <row r="70" spans="2:37" s="68" customFormat="1">
      <c r="B70" s="74"/>
      <c r="C70" s="73"/>
      <c r="D70" s="72"/>
      <c r="E70" s="72"/>
      <c r="F70" s="72"/>
      <c r="G70" s="71"/>
      <c r="H70" s="71"/>
      <c r="I70" s="6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80"/>
      <c r="AD70" s="79"/>
      <c r="AE70" s="80"/>
      <c r="AF70" s="79"/>
      <c r="AG70" s="80"/>
      <c r="AH70" s="80"/>
      <c r="AI70" s="80"/>
      <c r="AJ70" s="79"/>
      <c r="AK70" s="79"/>
    </row>
    <row r="71" spans="2:37" s="68" customFormat="1">
      <c r="B71" s="74"/>
      <c r="C71" s="73"/>
      <c r="D71" s="72"/>
      <c r="E71" s="72"/>
      <c r="F71" s="72"/>
      <c r="G71" s="71"/>
      <c r="H71" s="71"/>
      <c r="I71" s="6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80"/>
      <c r="AD71" s="79"/>
      <c r="AE71" s="80"/>
      <c r="AF71" s="79"/>
      <c r="AG71" s="80"/>
      <c r="AH71" s="80"/>
      <c r="AI71" s="80"/>
      <c r="AJ71" s="79"/>
      <c r="AK71" s="79"/>
    </row>
    <row r="72" spans="2:37" s="68" customFormat="1">
      <c r="B72" s="74"/>
      <c r="C72" s="73"/>
      <c r="D72" s="72"/>
      <c r="E72" s="72"/>
      <c r="F72" s="72"/>
      <c r="G72" s="71"/>
      <c r="H72" s="71"/>
      <c r="I72" s="6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80"/>
      <c r="AD72" s="79"/>
      <c r="AE72" s="80"/>
      <c r="AF72" s="79"/>
      <c r="AG72" s="80"/>
      <c r="AH72" s="80"/>
      <c r="AI72" s="80"/>
      <c r="AJ72" s="79"/>
      <c r="AK72" s="79"/>
    </row>
    <row r="73" spans="2:37" s="68" customFormat="1">
      <c r="B73" s="74"/>
      <c r="C73" s="73"/>
      <c r="D73" s="72"/>
      <c r="E73" s="72"/>
      <c r="F73" s="72"/>
      <c r="G73" s="71"/>
      <c r="H73" s="71"/>
      <c r="I73" s="6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80"/>
      <c r="AD73" s="79"/>
      <c r="AE73" s="80"/>
      <c r="AF73" s="79"/>
      <c r="AG73" s="80"/>
      <c r="AH73" s="80"/>
      <c r="AI73" s="80"/>
      <c r="AJ73" s="79"/>
      <c r="AK73" s="79"/>
    </row>
    <row r="74" spans="2:37" s="68" customFormat="1">
      <c r="B74" s="74"/>
      <c r="C74" s="73"/>
      <c r="D74" s="72"/>
      <c r="E74" s="72"/>
      <c r="F74" s="72"/>
      <c r="G74" s="71"/>
      <c r="H74" s="71"/>
      <c r="I74" s="6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80"/>
      <c r="AD74" s="79"/>
      <c r="AE74" s="80"/>
      <c r="AF74" s="79"/>
      <c r="AG74" s="80"/>
      <c r="AH74" s="80"/>
      <c r="AI74" s="80"/>
      <c r="AJ74" s="79"/>
      <c r="AK74" s="79"/>
    </row>
    <row r="75" spans="2:37" s="68" customFormat="1">
      <c r="B75" s="74"/>
      <c r="C75" s="73"/>
      <c r="D75" s="72"/>
      <c r="E75" s="72"/>
      <c r="F75" s="72"/>
      <c r="G75" s="71"/>
      <c r="H75" s="71"/>
      <c r="I75" s="6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80"/>
      <c r="AD75" s="79"/>
      <c r="AE75" s="80"/>
      <c r="AF75" s="79"/>
      <c r="AG75" s="80"/>
      <c r="AH75" s="80"/>
      <c r="AI75" s="80"/>
      <c r="AJ75" s="79"/>
      <c r="AK75" s="79"/>
    </row>
    <row r="76" spans="2:37" s="68" customFormat="1">
      <c r="B76" s="74"/>
      <c r="C76" s="73"/>
      <c r="D76" s="72"/>
      <c r="E76" s="72"/>
      <c r="F76" s="72"/>
      <c r="G76" s="71"/>
      <c r="H76" s="71"/>
      <c r="I76" s="6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80"/>
      <c r="AD76" s="79"/>
      <c r="AE76" s="80"/>
      <c r="AF76" s="79"/>
      <c r="AG76" s="80"/>
      <c r="AH76" s="80"/>
      <c r="AI76" s="80"/>
      <c r="AJ76" s="79"/>
      <c r="AK76" s="79"/>
    </row>
    <row r="77" spans="2:37" s="68" customFormat="1">
      <c r="B77" s="74"/>
      <c r="C77" s="73"/>
      <c r="D77" s="72"/>
      <c r="E77" s="72"/>
      <c r="F77" s="72"/>
      <c r="G77" s="71"/>
      <c r="H77" s="71"/>
      <c r="I77" s="6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80"/>
      <c r="AD77" s="79"/>
      <c r="AE77" s="80"/>
      <c r="AF77" s="79"/>
      <c r="AG77" s="80"/>
      <c r="AH77" s="80"/>
      <c r="AI77" s="80"/>
      <c r="AJ77" s="79"/>
      <c r="AK77" s="79"/>
    </row>
    <row r="78" spans="2:37" s="68" customFormat="1">
      <c r="B78" s="74"/>
      <c r="C78" s="73"/>
      <c r="D78" s="72"/>
      <c r="E78" s="72"/>
      <c r="F78" s="72"/>
      <c r="G78" s="71"/>
      <c r="H78" s="71"/>
      <c r="I78" s="6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80"/>
      <c r="AD78" s="79"/>
      <c r="AE78" s="80"/>
      <c r="AF78" s="79"/>
      <c r="AG78" s="80"/>
      <c r="AH78" s="80"/>
      <c r="AI78" s="80"/>
      <c r="AJ78" s="79"/>
      <c r="AK78" s="79"/>
    </row>
  </sheetData>
  <mergeCells count="33">
    <mergeCell ref="AI4:AJ4"/>
    <mergeCell ref="A6:C6"/>
    <mergeCell ref="A7:B7"/>
    <mergeCell ref="B20:C20"/>
    <mergeCell ref="AE4:AF4"/>
    <mergeCell ref="AG4:AH4"/>
    <mergeCell ref="F4:F5"/>
    <mergeCell ref="G4:G5"/>
    <mergeCell ref="H4:H5"/>
    <mergeCell ref="I4:I5"/>
    <mergeCell ref="A4:A5"/>
    <mergeCell ref="B4:B5"/>
    <mergeCell ref="C4:C5"/>
    <mergeCell ref="D4:D5"/>
    <mergeCell ref="E4:E5"/>
    <mergeCell ref="M4:N4"/>
    <mergeCell ref="O4:P4"/>
    <mergeCell ref="Q4:R4"/>
    <mergeCell ref="S4:T4"/>
    <mergeCell ref="A1:I2"/>
    <mergeCell ref="A3:J3"/>
    <mergeCell ref="L4:L5"/>
    <mergeCell ref="W4:X4"/>
    <mergeCell ref="Y4:Z4"/>
    <mergeCell ref="AA4:AB4"/>
    <mergeCell ref="AC4:AD4"/>
    <mergeCell ref="U4:V4"/>
    <mergeCell ref="E64:F64"/>
    <mergeCell ref="A22:B22"/>
    <mergeCell ref="B24:C24"/>
    <mergeCell ref="B27:C27"/>
    <mergeCell ref="E63:F63"/>
    <mergeCell ref="A62:B62"/>
  </mergeCells>
  <printOptions horizontalCentered="1"/>
  <pageMargins left="0.26" right="0.3" top="0.63" bottom="7.874015748031496E-2" header="1.1399999999999999" footer="0.31496062992125984"/>
  <pageSetup paperSize="9" scale="55" fitToHeight="0" orientation="landscape" r:id="rId1"/>
  <headerFooter scaleWithDoc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H38"/>
  <sheetViews>
    <sheetView tabSelected="1" view="pageBreakPreview" zoomScale="60" zoomScaleNormal="99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AS10" sqref="AS10"/>
    </sheetView>
  </sheetViews>
  <sheetFormatPr defaultColWidth="9" defaultRowHeight="23.25" outlineLevelCol="1"/>
  <cols>
    <col min="1" max="1" width="9.5703125" style="16" bestFit="1" customWidth="1"/>
    <col min="2" max="2" width="75.5703125" style="22" customWidth="1"/>
    <col min="3" max="3" width="18.42578125" style="21" customWidth="1"/>
    <col min="4" max="4" width="17.5703125" style="19" customWidth="1" outlineLevel="1"/>
    <col min="5" max="5" width="19.140625" style="19" customWidth="1" outlineLevel="1"/>
    <col min="6" max="6" width="19.28515625" style="19" customWidth="1"/>
    <col min="7" max="7" width="18.42578125" style="19" customWidth="1"/>
    <col min="8" max="8" width="18.42578125" style="20" customWidth="1"/>
    <col min="9" max="9" width="20.42578125" style="19" bestFit="1" customWidth="1"/>
    <col min="10" max="10" width="34.7109375" style="19" customWidth="1"/>
    <col min="11" max="24" width="17.85546875" style="18" hidden="1" customWidth="1"/>
    <col min="25" max="27" width="17.85546875" style="17" hidden="1" customWidth="1"/>
    <col min="28" max="28" width="17.85546875" style="18" hidden="1" customWidth="1"/>
    <col min="29" max="34" width="17.85546875" style="17" hidden="1" customWidth="1"/>
    <col min="35" max="16384" width="9" style="16"/>
  </cols>
  <sheetData>
    <row r="1" spans="1:34" ht="36">
      <c r="A1" s="540" t="s">
        <v>205</v>
      </c>
      <c r="B1" s="540"/>
      <c r="C1" s="540"/>
      <c r="D1" s="540"/>
      <c r="E1" s="540"/>
      <c r="F1" s="540"/>
      <c r="G1" s="540"/>
      <c r="H1" s="540"/>
      <c r="I1" s="540"/>
      <c r="J1" s="487"/>
    </row>
    <row r="2" spans="1:34" ht="36">
      <c r="A2" s="540"/>
      <c r="B2" s="540"/>
      <c r="C2" s="540"/>
      <c r="D2" s="540"/>
      <c r="E2" s="540"/>
      <c r="F2" s="540"/>
      <c r="G2" s="540"/>
      <c r="H2" s="540"/>
      <c r="I2" s="540"/>
      <c r="J2" s="487"/>
    </row>
    <row r="3" spans="1:34" ht="27.75" customHeight="1">
      <c r="A3" s="560"/>
      <c r="B3" s="560"/>
      <c r="C3" s="560"/>
      <c r="D3" s="560"/>
      <c r="E3" s="560"/>
      <c r="F3" s="560"/>
      <c r="G3" s="560"/>
      <c r="H3" s="560"/>
      <c r="I3" s="560"/>
      <c r="J3" s="488"/>
    </row>
    <row r="4" spans="1:34" s="65" customFormat="1" ht="28.5" customHeight="1">
      <c r="A4" s="548" t="s">
        <v>135</v>
      </c>
      <c r="B4" s="548" t="s">
        <v>109</v>
      </c>
      <c r="C4" s="548" t="s">
        <v>110</v>
      </c>
      <c r="D4" s="547" t="s">
        <v>2</v>
      </c>
      <c r="E4" s="547" t="s">
        <v>1</v>
      </c>
      <c r="F4" s="549" t="s">
        <v>134</v>
      </c>
      <c r="G4" s="547" t="s">
        <v>32</v>
      </c>
      <c r="H4" s="551" t="s">
        <v>24</v>
      </c>
      <c r="I4" s="547" t="s">
        <v>133</v>
      </c>
      <c r="J4" s="547" t="s">
        <v>29</v>
      </c>
      <c r="K4" s="542">
        <v>22555</v>
      </c>
      <c r="L4" s="542"/>
      <c r="M4" s="542">
        <v>22586</v>
      </c>
      <c r="N4" s="542"/>
      <c r="O4" s="542">
        <v>22616</v>
      </c>
      <c r="P4" s="542"/>
      <c r="Q4" s="542">
        <v>22647</v>
      </c>
      <c r="R4" s="542"/>
      <c r="S4" s="542">
        <v>22678</v>
      </c>
      <c r="T4" s="542"/>
      <c r="U4" s="542">
        <v>22706</v>
      </c>
      <c r="V4" s="542"/>
      <c r="W4" s="542">
        <v>22737</v>
      </c>
      <c r="X4" s="542"/>
      <c r="Y4" s="542">
        <v>22767</v>
      </c>
      <c r="Z4" s="542"/>
      <c r="AA4" s="542">
        <v>22798</v>
      </c>
      <c r="AB4" s="542"/>
      <c r="AC4" s="542">
        <v>22828</v>
      </c>
      <c r="AD4" s="542"/>
      <c r="AE4" s="542">
        <v>22859</v>
      </c>
      <c r="AF4" s="542"/>
      <c r="AG4" s="542">
        <v>22890</v>
      </c>
      <c r="AH4" s="542"/>
    </row>
    <row r="5" spans="1:34" s="65" customFormat="1" ht="21" customHeight="1">
      <c r="A5" s="548"/>
      <c r="B5" s="548"/>
      <c r="C5" s="548"/>
      <c r="D5" s="547"/>
      <c r="E5" s="547"/>
      <c r="F5" s="550"/>
      <c r="G5" s="547"/>
      <c r="H5" s="552"/>
      <c r="I5" s="547"/>
      <c r="J5" s="547"/>
      <c r="K5" s="67" t="s">
        <v>2</v>
      </c>
      <c r="L5" s="67" t="s">
        <v>1</v>
      </c>
      <c r="M5" s="67" t="s">
        <v>2</v>
      </c>
      <c r="N5" s="67" t="s">
        <v>1</v>
      </c>
      <c r="O5" s="67" t="s">
        <v>2</v>
      </c>
      <c r="P5" s="67" t="s">
        <v>1</v>
      </c>
      <c r="Q5" s="67" t="s">
        <v>2</v>
      </c>
      <c r="R5" s="67" t="s">
        <v>1</v>
      </c>
      <c r="S5" s="67" t="s">
        <v>2</v>
      </c>
      <c r="T5" s="67" t="s">
        <v>1</v>
      </c>
      <c r="U5" s="67" t="s">
        <v>2</v>
      </c>
      <c r="V5" s="67" t="s">
        <v>1</v>
      </c>
      <c r="W5" s="67" t="s">
        <v>2</v>
      </c>
      <c r="X5" s="67" t="s">
        <v>1</v>
      </c>
      <c r="Y5" s="66" t="s">
        <v>2</v>
      </c>
      <c r="Z5" s="66" t="s">
        <v>1</v>
      </c>
      <c r="AA5" s="66" t="s">
        <v>2</v>
      </c>
      <c r="AB5" s="67" t="s">
        <v>1</v>
      </c>
      <c r="AC5" s="66" t="s">
        <v>2</v>
      </c>
      <c r="AD5" s="66" t="s">
        <v>1</v>
      </c>
      <c r="AE5" s="66" t="s">
        <v>2</v>
      </c>
      <c r="AF5" s="66" t="s">
        <v>1</v>
      </c>
      <c r="AG5" s="66" t="s">
        <v>2</v>
      </c>
      <c r="AH5" s="66" t="s">
        <v>1</v>
      </c>
    </row>
    <row r="6" spans="1:34" s="65" customFormat="1">
      <c r="A6" s="556" t="s">
        <v>393</v>
      </c>
      <c r="B6" s="556"/>
      <c r="C6" s="556"/>
      <c r="D6" s="556"/>
      <c r="E6" s="113"/>
      <c r="F6" s="113"/>
      <c r="G6" s="113"/>
      <c r="H6" s="112"/>
      <c r="I6" s="113"/>
      <c r="J6" s="113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6"/>
      <c r="Z6" s="66"/>
      <c r="AA6" s="66"/>
      <c r="AB6" s="67"/>
      <c r="AC6" s="66"/>
      <c r="AD6" s="66"/>
      <c r="AE6" s="66"/>
      <c r="AF6" s="66"/>
      <c r="AG6" s="66"/>
      <c r="AH6" s="66"/>
    </row>
    <row r="7" spans="1:34" s="65" customFormat="1" ht="30.75" customHeight="1">
      <c r="A7" s="557" t="s">
        <v>120</v>
      </c>
      <c r="B7" s="557"/>
      <c r="C7" s="114"/>
      <c r="D7" s="113"/>
      <c r="E7" s="113"/>
      <c r="F7" s="113"/>
      <c r="G7" s="113"/>
      <c r="H7" s="112"/>
      <c r="I7" s="113"/>
      <c r="J7" s="113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3"/>
      <c r="Z7" s="63"/>
      <c r="AA7" s="63"/>
      <c r="AB7" s="64"/>
      <c r="AC7" s="63"/>
      <c r="AD7" s="63"/>
      <c r="AE7" s="63"/>
      <c r="AF7" s="63"/>
      <c r="AG7" s="63"/>
      <c r="AH7" s="63"/>
    </row>
    <row r="8" spans="1:34" ht="23.25" customHeight="1">
      <c r="A8" s="115">
        <v>9</v>
      </c>
      <c r="B8" s="116" t="s">
        <v>121</v>
      </c>
      <c r="C8" s="121"/>
      <c r="D8" s="120">
        <f>SUM(D10:D16)</f>
        <v>24040000</v>
      </c>
      <c r="E8" s="120">
        <f>SUM(E10:E15)</f>
        <v>2798000</v>
      </c>
      <c r="F8" s="127">
        <f>F10+F13+F14+F15+F16+F11</f>
        <v>26838000</v>
      </c>
      <c r="G8" s="127">
        <f>G10+G11+G13+G14+G15+G16</f>
        <v>6017020</v>
      </c>
      <c r="H8" s="127">
        <f t="shared" ref="H8:I8" si="0">H10+H11+H13+H14+H15+H16</f>
        <v>20798000</v>
      </c>
      <c r="I8" s="127">
        <f t="shared" si="0"/>
        <v>22980</v>
      </c>
      <c r="J8" s="127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3"/>
      <c r="Z8" s="63"/>
      <c r="AA8" s="63"/>
      <c r="AB8" s="64"/>
      <c r="AC8" s="63"/>
      <c r="AD8" s="63"/>
      <c r="AE8" s="63"/>
      <c r="AF8" s="63"/>
      <c r="AG8" s="63"/>
      <c r="AH8" s="63"/>
    </row>
    <row r="9" spans="1:34" ht="23.25" customHeight="1">
      <c r="A9" s="25"/>
      <c r="B9" s="61" t="s">
        <v>122</v>
      </c>
      <c r="C9" s="48"/>
      <c r="D9" s="47"/>
      <c r="E9" s="46"/>
      <c r="F9" s="148"/>
      <c r="G9" s="146"/>
      <c r="H9" s="27"/>
      <c r="I9" s="46"/>
      <c r="J9" s="4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24"/>
      <c r="Z9" s="24"/>
      <c r="AA9" s="24"/>
      <c r="AB9" s="56"/>
      <c r="AC9" s="24"/>
      <c r="AD9" s="24"/>
      <c r="AE9" s="24"/>
      <c r="AF9" s="24"/>
      <c r="AG9" s="24"/>
      <c r="AH9" s="24"/>
    </row>
    <row r="10" spans="1:34" s="62" customFormat="1" ht="75">
      <c r="A10" s="34"/>
      <c r="B10" s="58" t="s">
        <v>215</v>
      </c>
      <c r="C10" s="51" t="s">
        <v>192</v>
      </c>
      <c r="D10" s="50"/>
      <c r="E10" s="29">
        <v>2500000</v>
      </c>
      <c r="F10" s="29">
        <v>2500000</v>
      </c>
      <c r="G10" s="479">
        <f>'เบิกจ่าย งบปี 62'!I81</f>
        <v>0</v>
      </c>
      <c r="H10" s="147">
        <f t="shared" ref="H10" si="1">F10-G10</f>
        <v>2500000</v>
      </c>
      <c r="I10" s="29"/>
      <c r="J10" s="498" t="s">
        <v>497</v>
      </c>
      <c r="K10" s="482"/>
      <c r="L10" s="483"/>
      <c r="M10" s="482"/>
      <c r="N10" s="483"/>
      <c r="O10" s="482"/>
      <c r="P10" s="483"/>
      <c r="Q10" s="482"/>
      <c r="R10" s="483"/>
      <c r="S10" s="482"/>
      <c r="T10" s="483"/>
      <c r="U10" s="482"/>
      <c r="V10" s="483"/>
      <c r="W10" s="482"/>
      <c r="X10" s="483"/>
      <c r="Y10" s="484"/>
      <c r="Z10" s="484"/>
      <c r="AA10" s="484"/>
      <c r="AB10" s="483"/>
      <c r="AC10" s="484"/>
      <c r="AD10" s="484"/>
      <c r="AE10" s="484"/>
      <c r="AF10" s="484"/>
      <c r="AG10" s="484"/>
      <c r="AH10" s="484"/>
    </row>
    <row r="11" spans="1:34" s="62" customFormat="1" ht="46.5">
      <c r="A11" s="34"/>
      <c r="B11" s="33" t="s">
        <v>450</v>
      </c>
      <c r="C11" s="78" t="s">
        <v>59</v>
      </c>
      <c r="E11" s="485">
        <v>298000</v>
      </c>
      <c r="F11" s="29">
        <v>298000</v>
      </c>
      <c r="G11" s="479">
        <f>'เบิกจ่าย งบปี 62'!I82</f>
        <v>0</v>
      </c>
      <c r="H11" s="147">
        <f t="shared" ref="H11" si="2">F11-G11</f>
        <v>298000</v>
      </c>
      <c r="I11" s="29"/>
      <c r="J11" s="498" t="s">
        <v>498</v>
      </c>
      <c r="K11" s="482"/>
      <c r="L11" s="483"/>
      <c r="M11" s="482"/>
      <c r="N11" s="483"/>
      <c r="O11" s="482"/>
      <c r="P11" s="483"/>
      <c r="Q11" s="482"/>
      <c r="R11" s="483"/>
      <c r="S11" s="482"/>
      <c r="T11" s="483"/>
      <c r="U11" s="482"/>
      <c r="V11" s="483"/>
      <c r="W11" s="482"/>
      <c r="X11" s="483"/>
      <c r="Y11" s="484"/>
      <c r="Z11" s="484"/>
      <c r="AA11" s="484"/>
      <c r="AB11" s="483"/>
      <c r="AC11" s="484"/>
      <c r="AD11" s="484"/>
      <c r="AE11" s="484"/>
      <c r="AF11" s="484"/>
      <c r="AG11" s="484"/>
      <c r="AH11" s="484"/>
    </row>
    <row r="12" spans="1:34" ht="46.5">
      <c r="A12" s="40"/>
      <c r="B12" s="61" t="s">
        <v>293</v>
      </c>
      <c r="C12" s="48"/>
      <c r="D12" s="47"/>
      <c r="E12" s="36"/>
      <c r="F12" s="145"/>
      <c r="G12" s="479"/>
      <c r="H12" s="147"/>
      <c r="I12" s="36"/>
      <c r="J12" s="49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7"/>
      <c r="Z12" s="27"/>
      <c r="AA12" s="27"/>
      <c r="AB12" s="28"/>
      <c r="AC12" s="27"/>
      <c r="AD12" s="27"/>
      <c r="AE12" s="27"/>
      <c r="AF12" s="27"/>
      <c r="AG12" s="27"/>
      <c r="AH12" s="27"/>
    </row>
    <row r="13" spans="1:34" s="45" customFormat="1" ht="30.75">
      <c r="A13" s="40"/>
      <c r="B13" s="59" t="s">
        <v>451</v>
      </c>
      <c r="C13" s="48" t="s">
        <v>132</v>
      </c>
      <c r="D13" s="31">
        <v>3540000</v>
      </c>
      <c r="E13" s="36"/>
      <c r="F13" s="31">
        <v>3540000</v>
      </c>
      <c r="G13" s="479">
        <f>'เบิกจ่าย งบปี 62'!I83</f>
        <v>3540000</v>
      </c>
      <c r="H13" s="147">
        <f>F13-G13</f>
        <v>0</v>
      </c>
      <c r="I13" s="11"/>
      <c r="J13" s="498" t="s">
        <v>238</v>
      </c>
      <c r="K13" s="25"/>
      <c r="L13" s="25"/>
      <c r="M13" s="25"/>
      <c r="N13" s="25"/>
      <c r="O13" s="25"/>
      <c r="P13" s="25"/>
      <c r="Q13" s="35">
        <f>3500000+40000</f>
        <v>3540000</v>
      </c>
      <c r="R13" s="25"/>
      <c r="S13" s="35"/>
      <c r="T13" s="25"/>
      <c r="U13" s="35"/>
      <c r="V13" s="25"/>
      <c r="W13" s="25"/>
      <c r="X13" s="25"/>
      <c r="Y13" s="35"/>
      <c r="Z13" s="35"/>
      <c r="AA13" s="35"/>
      <c r="AB13" s="25"/>
      <c r="AC13" s="35"/>
      <c r="AD13" s="35"/>
      <c r="AE13" s="35"/>
      <c r="AF13" s="35"/>
      <c r="AG13" s="35"/>
      <c r="AH13" s="35"/>
    </row>
    <row r="14" spans="1:34" s="26" customFormat="1" ht="46.5">
      <c r="A14" s="34"/>
      <c r="B14" s="52" t="s">
        <v>452</v>
      </c>
      <c r="C14" s="51" t="s">
        <v>129</v>
      </c>
      <c r="D14" s="31">
        <v>2500000</v>
      </c>
      <c r="E14" s="29"/>
      <c r="F14" s="31">
        <v>2500000</v>
      </c>
      <c r="G14" s="479">
        <f>'เบิกจ่าย งบปี 62'!I89</f>
        <v>2477020</v>
      </c>
      <c r="H14" s="147">
        <f>F14-G14-I14</f>
        <v>0</v>
      </c>
      <c r="I14" s="474">
        <v>22980</v>
      </c>
      <c r="J14" s="498" t="s">
        <v>238</v>
      </c>
      <c r="K14" s="28"/>
      <c r="L14" s="28"/>
      <c r="M14" s="28"/>
      <c r="N14" s="28"/>
      <c r="O14" s="28"/>
      <c r="P14" s="28"/>
      <c r="Q14" s="27">
        <f>2477020</f>
        <v>2477020</v>
      </c>
      <c r="R14" s="28"/>
      <c r="S14" s="28"/>
      <c r="T14" s="28"/>
      <c r="U14" s="27"/>
      <c r="V14" s="28"/>
      <c r="W14" s="28"/>
      <c r="X14" s="28"/>
      <c r="Y14" s="27"/>
      <c r="Z14" s="27"/>
      <c r="AA14" s="27"/>
      <c r="AB14" s="28"/>
      <c r="AC14" s="27"/>
      <c r="AD14" s="27"/>
      <c r="AE14" s="27"/>
      <c r="AF14" s="27"/>
      <c r="AG14" s="27"/>
      <c r="AH14" s="27"/>
    </row>
    <row r="15" spans="1:34" s="26" customFormat="1" ht="37.5">
      <c r="A15" s="34"/>
      <c r="B15" s="33" t="s">
        <v>453</v>
      </c>
      <c r="C15" s="51" t="s">
        <v>132</v>
      </c>
      <c r="D15" s="149">
        <v>12000000</v>
      </c>
      <c r="E15" s="29"/>
      <c r="F15" s="149">
        <v>12000000</v>
      </c>
      <c r="G15" s="479">
        <f>'เบิกจ่าย งบปี 62'!I85</f>
        <v>0</v>
      </c>
      <c r="H15" s="41">
        <f>F15-G15</f>
        <v>12000000</v>
      </c>
      <c r="I15" s="12"/>
      <c r="J15" s="498" t="s">
        <v>499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7"/>
      <c r="Z15" s="27"/>
      <c r="AA15" s="27"/>
      <c r="AB15" s="28"/>
      <c r="AC15" s="27"/>
      <c r="AD15" s="27"/>
      <c r="AE15" s="27"/>
      <c r="AF15" s="27"/>
      <c r="AG15" s="27"/>
      <c r="AH15" s="27"/>
    </row>
    <row r="16" spans="1:34" s="26" customFormat="1" ht="75">
      <c r="A16" s="34"/>
      <c r="B16" s="33" t="s">
        <v>454</v>
      </c>
      <c r="C16" s="51" t="s">
        <v>132</v>
      </c>
      <c r="D16" s="149">
        <v>6000000</v>
      </c>
      <c r="E16" s="29"/>
      <c r="F16" s="31">
        <v>6000000</v>
      </c>
      <c r="G16" s="479">
        <f>'เบิกจ่าย งบปี 62'!I86</f>
        <v>0</v>
      </c>
      <c r="H16" s="41">
        <f>F16-G16</f>
        <v>6000000</v>
      </c>
      <c r="I16" s="12"/>
      <c r="J16" s="498" t="s">
        <v>500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7"/>
      <c r="Z16" s="27"/>
      <c r="AA16" s="27"/>
      <c r="AB16" s="28"/>
      <c r="AC16" s="27"/>
      <c r="AD16" s="27"/>
      <c r="AE16" s="27"/>
      <c r="AF16" s="27"/>
      <c r="AG16" s="502"/>
      <c r="AH16" s="27"/>
    </row>
    <row r="17" spans="1:34" ht="46.5">
      <c r="A17" s="115">
        <v>10</v>
      </c>
      <c r="B17" s="116" t="s">
        <v>216</v>
      </c>
      <c r="C17" s="121"/>
      <c r="D17" s="118">
        <f>D19+D20+D21</f>
        <v>4970000</v>
      </c>
      <c r="E17" s="118">
        <f>E19+E20+E21</f>
        <v>230000</v>
      </c>
      <c r="F17" s="118">
        <f>F19+F20+F21</f>
        <v>5200000</v>
      </c>
      <c r="G17" s="134">
        <f>G19+G20+G21</f>
        <v>1915000</v>
      </c>
      <c r="H17" s="122">
        <f>F17-G17</f>
        <v>3285000</v>
      </c>
      <c r="I17" s="118"/>
      <c r="J17" s="11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7"/>
      <c r="Z17" s="27"/>
      <c r="AA17" s="27"/>
      <c r="AB17" s="28"/>
      <c r="AC17" s="27"/>
      <c r="AD17" s="27"/>
      <c r="AE17" s="27"/>
      <c r="AF17" s="27"/>
      <c r="AG17" s="27"/>
      <c r="AH17" s="27"/>
    </row>
    <row r="18" spans="1:34">
      <c r="A18" s="25"/>
      <c r="B18" s="53" t="s">
        <v>193</v>
      </c>
      <c r="C18" s="48"/>
      <c r="D18" s="47"/>
      <c r="E18" s="46"/>
      <c r="F18" s="46"/>
      <c r="G18" s="35"/>
      <c r="H18" s="35"/>
      <c r="I18" s="46"/>
      <c r="J18" s="49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7"/>
      <c r="Z18" s="27"/>
      <c r="AA18" s="27"/>
      <c r="AB18" s="28"/>
      <c r="AC18" s="27"/>
      <c r="AD18" s="27"/>
      <c r="AE18" s="27"/>
      <c r="AF18" s="27"/>
      <c r="AG18" s="27"/>
      <c r="AH18" s="27"/>
    </row>
    <row r="19" spans="1:34" s="26" customFormat="1">
      <c r="A19" s="34"/>
      <c r="B19" s="58" t="s">
        <v>194</v>
      </c>
      <c r="C19" s="76" t="s">
        <v>131</v>
      </c>
      <c r="D19" s="50">
        <v>2000000</v>
      </c>
      <c r="E19" s="50"/>
      <c r="F19" s="50">
        <v>2000000</v>
      </c>
      <c r="G19" s="135">
        <f>'เบิกจ่าย งบปี 62'!I97</f>
        <v>1915000</v>
      </c>
      <c r="H19" s="57">
        <f>F19-G19-I19</f>
        <v>0</v>
      </c>
      <c r="I19" s="517">
        <v>85000</v>
      </c>
      <c r="J19" s="498" t="s">
        <v>238</v>
      </c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35">
        <f>1915000</f>
        <v>1915000</v>
      </c>
      <c r="V19" s="25"/>
      <c r="W19" s="25"/>
      <c r="X19" s="25"/>
      <c r="Y19" s="35"/>
      <c r="Z19" s="35"/>
      <c r="AA19" s="35"/>
      <c r="AB19" s="25"/>
      <c r="AC19" s="35"/>
      <c r="AD19" s="35"/>
      <c r="AE19" s="35"/>
      <c r="AF19" s="35"/>
      <c r="AG19" s="35"/>
      <c r="AH19" s="35"/>
    </row>
    <row r="20" spans="1:34" s="26" customFormat="1">
      <c r="A20" s="481"/>
      <c r="B20" s="137" t="s">
        <v>195</v>
      </c>
      <c r="C20" s="159" t="s">
        <v>131</v>
      </c>
      <c r="D20" s="139">
        <v>670000</v>
      </c>
      <c r="E20" s="50">
        <v>230000</v>
      </c>
      <c r="F20" s="139">
        <v>900000</v>
      </c>
      <c r="G20" s="135"/>
      <c r="H20" s="57">
        <f>F20-G20</f>
        <v>900000</v>
      </c>
      <c r="I20" s="50"/>
      <c r="J20" s="498" t="s">
        <v>421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35"/>
      <c r="Z20" s="35"/>
      <c r="AA20" s="35"/>
      <c r="AB20" s="25"/>
      <c r="AC20" s="35"/>
      <c r="AD20" s="35"/>
      <c r="AE20" s="35"/>
      <c r="AF20" s="35"/>
      <c r="AG20" s="35"/>
      <c r="AH20" s="35"/>
    </row>
    <row r="21" spans="1:34" s="26" customFormat="1" ht="46.5">
      <c r="A21" s="34"/>
      <c r="B21" s="137" t="s">
        <v>455</v>
      </c>
      <c r="C21" s="76" t="s">
        <v>131</v>
      </c>
      <c r="D21" s="139">
        <v>2300000</v>
      </c>
      <c r="E21" s="50"/>
      <c r="F21" s="50">
        <v>2300000</v>
      </c>
      <c r="G21" s="135"/>
      <c r="H21" s="57">
        <f>F21-G21</f>
        <v>2300000</v>
      </c>
      <c r="I21" s="50"/>
      <c r="J21" s="498" t="s">
        <v>501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35"/>
      <c r="Z21" s="35"/>
      <c r="AA21" s="35"/>
      <c r="AB21" s="25"/>
      <c r="AC21" s="35"/>
      <c r="AD21" s="35"/>
      <c r="AE21" s="35"/>
      <c r="AF21" s="35"/>
      <c r="AG21" s="35"/>
      <c r="AH21" s="35"/>
    </row>
    <row r="22" spans="1:34" s="26" customFormat="1" ht="46.5">
      <c r="A22" s="123">
        <v>11</v>
      </c>
      <c r="B22" s="124" t="s">
        <v>123</v>
      </c>
      <c r="C22" s="125"/>
      <c r="D22" s="118">
        <f>SUM(D23:D25)</f>
        <v>2057400</v>
      </c>
      <c r="E22" s="118">
        <f>SUM(E23:E25)</f>
        <v>0</v>
      </c>
      <c r="F22" s="120">
        <f>F23+F24+F25</f>
        <v>2057400</v>
      </c>
      <c r="G22" s="119">
        <f>G23+G24+G25</f>
        <v>704480</v>
      </c>
      <c r="H22" s="120">
        <f t="shared" ref="H22:H26" si="3">F22-G22</f>
        <v>1352920</v>
      </c>
      <c r="I22" s="127"/>
      <c r="J22" s="127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4"/>
      <c r="Z22" s="54"/>
      <c r="AA22" s="54"/>
      <c r="AB22" s="55"/>
      <c r="AC22" s="54"/>
      <c r="AD22" s="54"/>
      <c r="AE22" s="54"/>
      <c r="AF22" s="54"/>
      <c r="AG22" s="54"/>
      <c r="AH22" s="54"/>
    </row>
    <row r="23" spans="1:34" ht="37.5">
      <c r="A23" s="40"/>
      <c r="B23" s="39" t="s">
        <v>196</v>
      </c>
      <c r="C23" s="38" t="s">
        <v>129</v>
      </c>
      <c r="D23" s="29">
        <v>1279500</v>
      </c>
      <c r="E23" s="36"/>
      <c r="F23" s="29">
        <v>1279500</v>
      </c>
      <c r="G23" s="135">
        <f>'เบิกจ่าย งบปี 62'!I91</f>
        <v>687580</v>
      </c>
      <c r="H23" s="30">
        <f t="shared" si="3"/>
        <v>591920</v>
      </c>
      <c r="I23" s="11"/>
      <c r="J23" s="498" t="s">
        <v>385</v>
      </c>
      <c r="K23" s="44"/>
      <c r="L23" s="44"/>
      <c r="M23" s="44"/>
      <c r="N23" s="44"/>
      <c r="O23" s="44"/>
      <c r="P23" s="44"/>
      <c r="Q23" s="44"/>
      <c r="R23" s="44"/>
      <c r="S23" s="43">
        <f>140000</f>
        <v>140000</v>
      </c>
      <c r="T23" s="44"/>
      <c r="U23" s="43">
        <f>547580</f>
        <v>547580</v>
      </c>
      <c r="V23" s="44"/>
      <c r="W23" s="44"/>
      <c r="X23" s="44"/>
      <c r="Y23" s="43"/>
      <c r="Z23" s="43"/>
      <c r="AA23" s="43"/>
      <c r="AB23" s="44"/>
      <c r="AC23" s="43"/>
      <c r="AD23" s="43"/>
      <c r="AE23" s="43"/>
      <c r="AF23" s="43"/>
      <c r="AG23" s="43"/>
      <c r="AH23" s="43"/>
    </row>
    <row r="24" spans="1:34" s="26" customFormat="1" ht="131.25">
      <c r="A24" s="34"/>
      <c r="B24" s="33" t="s">
        <v>220</v>
      </c>
      <c r="C24" s="32" t="s">
        <v>129</v>
      </c>
      <c r="D24" s="149">
        <v>425350</v>
      </c>
      <c r="E24" s="29"/>
      <c r="F24" s="149">
        <v>425350</v>
      </c>
      <c r="G24" s="479">
        <f>'เบิกจ่าย งบปี 62'!I93</f>
        <v>0</v>
      </c>
      <c r="H24" s="41">
        <f t="shared" si="3"/>
        <v>425350</v>
      </c>
      <c r="I24" s="11"/>
      <c r="J24" s="498" t="s">
        <v>502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1"/>
      <c r="Z24" s="41"/>
      <c r="AA24" s="41"/>
      <c r="AB24" s="42"/>
      <c r="AC24" s="41"/>
      <c r="AD24" s="41"/>
      <c r="AE24" s="41"/>
      <c r="AF24" s="41"/>
      <c r="AG24" s="41"/>
      <c r="AH24" s="41"/>
    </row>
    <row r="25" spans="1:34" s="26" customFormat="1" ht="56.25">
      <c r="A25" s="34"/>
      <c r="B25" s="33" t="s">
        <v>197</v>
      </c>
      <c r="C25" s="32" t="s">
        <v>129</v>
      </c>
      <c r="D25" s="149">
        <v>352550</v>
      </c>
      <c r="E25" s="29"/>
      <c r="F25" s="149">
        <v>352550</v>
      </c>
      <c r="G25" s="479">
        <f>'เบิกจ่าย งบปี 62'!I95</f>
        <v>16900</v>
      </c>
      <c r="H25" s="41">
        <f t="shared" si="3"/>
        <v>335650</v>
      </c>
      <c r="I25" s="11"/>
      <c r="J25" s="498" t="s">
        <v>387</v>
      </c>
      <c r="K25" s="42"/>
      <c r="L25" s="42"/>
      <c r="M25" s="42"/>
      <c r="N25" s="42"/>
      <c r="O25" s="42"/>
      <c r="P25" s="42"/>
      <c r="Q25" s="41">
        <f>16900</f>
        <v>16900</v>
      </c>
      <c r="R25" s="42"/>
      <c r="S25" s="42"/>
      <c r="T25" s="42"/>
      <c r="U25" s="42"/>
      <c r="V25" s="42"/>
      <c r="W25" s="42"/>
      <c r="X25" s="42"/>
      <c r="Y25" s="41"/>
      <c r="Z25" s="41"/>
      <c r="AA25" s="41"/>
      <c r="AB25" s="42"/>
      <c r="AC25" s="41"/>
      <c r="AD25" s="41"/>
      <c r="AE25" s="41"/>
      <c r="AF25" s="41"/>
      <c r="AG25" s="41"/>
      <c r="AH25" s="41"/>
    </row>
    <row r="26" spans="1:34">
      <c r="A26" s="115">
        <v>12</v>
      </c>
      <c r="B26" s="116" t="s">
        <v>124</v>
      </c>
      <c r="C26" s="117"/>
      <c r="D26" s="118">
        <f>D28</f>
        <v>1413000</v>
      </c>
      <c r="E26" s="120"/>
      <c r="F26" s="127">
        <f>F28</f>
        <v>1413000</v>
      </c>
      <c r="G26" s="119">
        <f>G28</f>
        <v>1007800</v>
      </c>
      <c r="H26" s="119">
        <f t="shared" si="3"/>
        <v>405200</v>
      </c>
      <c r="I26" s="120"/>
      <c r="J26" s="120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3"/>
      <c r="Z26" s="43"/>
      <c r="AA26" s="43"/>
      <c r="AB26" s="44"/>
      <c r="AC26" s="43"/>
      <c r="AD26" s="43"/>
      <c r="AE26" s="43"/>
      <c r="AF26" s="43"/>
      <c r="AG26" s="43"/>
      <c r="AH26" s="43"/>
    </row>
    <row r="27" spans="1:34">
      <c r="A27" s="25"/>
      <c r="B27" s="53" t="s">
        <v>125</v>
      </c>
      <c r="C27" s="48"/>
      <c r="D27" s="47"/>
      <c r="E27" s="46"/>
      <c r="F27" s="46"/>
      <c r="G27" s="97"/>
      <c r="H27" s="35"/>
      <c r="I27" s="46"/>
      <c r="J27" s="498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3"/>
      <c r="Z27" s="43"/>
      <c r="AA27" s="43"/>
      <c r="AB27" s="44"/>
      <c r="AC27" s="43"/>
      <c r="AD27" s="43"/>
      <c r="AE27" s="43"/>
      <c r="AF27" s="43"/>
      <c r="AG27" s="43"/>
      <c r="AH27" s="43"/>
    </row>
    <row r="28" spans="1:34" s="26" customFormat="1" ht="112.5">
      <c r="A28" s="34"/>
      <c r="B28" s="52" t="s">
        <v>198</v>
      </c>
      <c r="C28" s="161" t="s">
        <v>199</v>
      </c>
      <c r="D28" s="50">
        <v>1413000</v>
      </c>
      <c r="E28" s="29"/>
      <c r="F28" s="50">
        <v>1413000</v>
      </c>
      <c r="G28" s="135">
        <f>SUM(K28:X28)</f>
        <v>1007800</v>
      </c>
      <c r="H28" s="30">
        <f>F28-G28</f>
        <v>405200</v>
      </c>
      <c r="I28" s="13"/>
      <c r="J28" s="498" t="s">
        <v>388</v>
      </c>
      <c r="K28" s="42"/>
      <c r="L28" s="42"/>
      <c r="M28" s="41">
        <f>122760</f>
        <v>122760</v>
      </c>
      <c r="N28" s="42"/>
      <c r="O28" s="41">
        <f>3910</f>
        <v>3910</v>
      </c>
      <c r="P28" s="42"/>
      <c r="Q28" s="41">
        <f>5995+5995+33780+104100+67560</f>
        <v>217430</v>
      </c>
      <c r="R28" s="42"/>
      <c r="S28" s="41">
        <f>5995+90580+5995</f>
        <v>102570</v>
      </c>
      <c r="T28" s="42"/>
      <c r="U28" s="41">
        <f>36230+182300+39900+105100+52600+145000</f>
        <v>561130</v>
      </c>
      <c r="V28" s="42"/>
      <c r="W28" s="42"/>
      <c r="X28" s="42"/>
      <c r="Y28" s="41"/>
      <c r="Z28" s="41"/>
      <c r="AA28" s="41"/>
      <c r="AB28" s="42"/>
      <c r="AC28" s="41"/>
      <c r="AD28" s="41"/>
      <c r="AE28" s="41"/>
      <c r="AF28" s="41"/>
      <c r="AG28" s="41"/>
      <c r="AH28" s="41"/>
    </row>
    <row r="29" spans="1:34">
      <c r="A29" s="115">
        <v>13</v>
      </c>
      <c r="B29" s="128" t="s">
        <v>126</v>
      </c>
      <c r="C29" s="121"/>
      <c r="D29" s="118">
        <f>D32+D35</f>
        <v>0</v>
      </c>
      <c r="E29" s="120">
        <f>SUM(E30:E35)</f>
        <v>5089000</v>
      </c>
      <c r="F29" s="127">
        <f>SUM(F31:F35)</f>
        <v>5089000</v>
      </c>
      <c r="G29" s="127">
        <f>G31+G32+G33+G34+G35</f>
        <v>1170000</v>
      </c>
      <c r="H29" s="127">
        <f t="shared" ref="H29:I29" si="4">H31+H32+H33+H34+H35</f>
        <v>3317700</v>
      </c>
      <c r="I29" s="127">
        <f t="shared" si="4"/>
        <v>601300</v>
      </c>
      <c r="J29" s="127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3"/>
      <c r="Z29" s="43"/>
      <c r="AA29" s="43"/>
      <c r="AB29" s="44"/>
      <c r="AC29" s="43"/>
      <c r="AD29" s="43"/>
      <c r="AE29" s="43"/>
      <c r="AF29" s="43"/>
      <c r="AG29" s="43"/>
      <c r="AH29" s="43"/>
    </row>
    <row r="30" spans="1:34" ht="46.5">
      <c r="A30" s="25"/>
      <c r="B30" s="49" t="s">
        <v>200</v>
      </c>
      <c r="C30" s="48"/>
      <c r="D30" s="47"/>
      <c r="E30" s="46"/>
      <c r="F30" s="46"/>
      <c r="G30" s="480"/>
      <c r="H30" s="35"/>
      <c r="I30" s="46"/>
      <c r="J30" s="498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3"/>
      <c r="Z30" s="43"/>
      <c r="AA30" s="43"/>
      <c r="AB30" s="44"/>
      <c r="AC30" s="43"/>
      <c r="AD30" s="43"/>
      <c r="AE30" s="43"/>
      <c r="AF30" s="43"/>
      <c r="AG30" s="43"/>
      <c r="AH30" s="43"/>
    </row>
    <row r="31" spans="1:34" s="62" customFormat="1" ht="56.25">
      <c r="A31" s="34"/>
      <c r="B31" s="33" t="s">
        <v>217</v>
      </c>
      <c r="C31" s="32" t="s">
        <v>185</v>
      </c>
      <c r="D31" s="31"/>
      <c r="E31" s="29">
        <v>1249000</v>
      </c>
      <c r="F31" s="29">
        <v>1249000</v>
      </c>
      <c r="G31" s="145">
        <f>'เบิกจ่าย งบปี 62'!I158</f>
        <v>0</v>
      </c>
      <c r="H31" s="30">
        <f>F31-G31-I31</f>
        <v>940000</v>
      </c>
      <c r="I31" s="474">
        <v>309000</v>
      </c>
      <c r="J31" s="498" t="s">
        <v>508</v>
      </c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1"/>
      <c r="Z31" s="41"/>
      <c r="AA31" s="41"/>
      <c r="AB31" s="42"/>
      <c r="AC31" s="41"/>
      <c r="AD31" s="41"/>
      <c r="AE31" s="41"/>
      <c r="AF31" s="41"/>
      <c r="AG31" s="41"/>
      <c r="AH31" s="41"/>
    </row>
    <row r="32" spans="1:34" s="26" customFormat="1" ht="46.5">
      <c r="A32" s="34"/>
      <c r="B32" s="33" t="s">
        <v>201</v>
      </c>
      <c r="C32" s="32" t="s">
        <v>202</v>
      </c>
      <c r="D32" s="31"/>
      <c r="E32" s="29">
        <v>1462000</v>
      </c>
      <c r="F32" s="29">
        <v>1462000</v>
      </c>
      <c r="G32" s="145">
        <f>'เบิกจ่าย งบปี 62'!I223</f>
        <v>1170000</v>
      </c>
      <c r="H32" s="30">
        <f>F32-G32-I32</f>
        <v>0</v>
      </c>
      <c r="I32" s="29">
        <v>292000</v>
      </c>
      <c r="J32" s="498" t="s">
        <v>328</v>
      </c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1"/>
      <c r="V32" s="41">
        <f>1170000</f>
        <v>1170000</v>
      </c>
      <c r="W32" s="42"/>
      <c r="X32" s="42"/>
      <c r="Y32" s="41"/>
      <c r="Z32" s="41"/>
      <c r="AA32" s="41"/>
      <c r="AB32" s="42"/>
      <c r="AC32" s="41"/>
      <c r="AD32" s="41"/>
      <c r="AE32" s="41"/>
      <c r="AF32" s="41"/>
      <c r="AG32" s="41"/>
      <c r="AH32" s="41"/>
    </row>
    <row r="33" spans="1:34" s="26" customFormat="1" ht="46.5">
      <c r="A33" s="34"/>
      <c r="B33" s="33" t="s">
        <v>218</v>
      </c>
      <c r="C33" s="32" t="s">
        <v>203</v>
      </c>
      <c r="D33" s="31"/>
      <c r="E33" s="29">
        <v>894000</v>
      </c>
      <c r="F33" s="29">
        <v>894000</v>
      </c>
      <c r="G33" s="145">
        <f>'เบิกจ่าย งบปี 62'!I167</f>
        <v>0</v>
      </c>
      <c r="H33" s="30">
        <f>F33-G33-I33</f>
        <v>893900</v>
      </c>
      <c r="I33" s="29">
        <v>100</v>
      </c>
      <c r="J33" s="498" t="s">
        <v>349</v>
      </c>
      <c r="K33" s="42"/>
      <c r="L33" s="42"/>
      <c r="M33" s="42"/>
      <c r="N33" s="42"/>
      <c r="O33" s="42"/>
      <c r="P33" s="42"/>
      <c r="Q33" s="42"/>
      <c r="R33" s="42"/>
      <c r="S33" s="42"/>
      <c r="T33" s="41"/>
      <c r="U33" s="42"/>
      <c r="V33" s="42"/>
      <c r="W33" s="42"/>
      <c r="X33" s="42"/>
      <c r="Y33" s="41"/>
      <c r="Z33" s="41"/>
      <c r="AA33" s="41"/>
      <c r="AB33" s="42"/>
      <c r="AC33" s="41"/>
      <c r="AD33" s="41"/>
      <c r="AE33" s="41"/>
      <c r="AF33" s="41"/>
      <c r="AG33" s="41"/>
      <c r="AH33" s="41"/>
    </row>
    <row r="34" spans="1:34" s="26" customFormat="1" ht="46.5">
      <c r="A34" s="34"/>
      <c r="B34" s="33" t="s">
        <v>219</v>
      </c>
      <c r="C34" s="32" t="s">
        <v>203</v>
      </c>
      <c r="D34" s="31"/>
      <c r="E34" s="29">
        <v>681000</v>
      </c>
      <c r="F34" s="29">
        <v>681000</v>
      </c>
      <c r="G34" s="145">
        <f>'เบิกจ่าย งบปี 62'!I170</f>
        <v>0</v>
      </c>
      <c r="H34" s="30">
        <f>F34-G34-I34</f>
        <v>680900</v>
      </c>
      <c r="I34" s="474">
        <v>100</v>
      </c>
      <c r="J34" s="498" t="s">
        <v>349</v>
      </c>
      <c r="K34" s="42"/>
      <c r="L34" s="42"/>
      <c r="M34" s="42"/>
      <c r="N34" s="42"/>
      <c r="O34" s="42"/>
      <c r="P34" s="42"/>
      <c r="Q34" s="42"/>
      <c r="R34" s="42"/>
      <c r="S34" s="42"/>
      <c r="T34" s="41"/>
      <c r="U34" s="42"/>
      <c r="V34" s="42"/>
      <c r="W34" s="42"/>
      <c r="X34" s="42"/>
      <c r="Y34" s="41"/>
      <c r="Z34" s="41"/>
      <c r="AA34" s="41"/>
      <c r="AB34" s="42"/>
      <c r="AC34" s="41"/>
      <c r="AD34" s="41"/>
      <c r="AE34" s="41"/>
      <c r="AF34" s="41"/>
      <c r="AG34" s="41"/>
      <c r="AH34" s="41"/>
    </row>
    <row r="35" spans="1:34" s="26" customFormat="1" ht="46.5">
      <c r="A35" s="34"/>
      <c r="B35" s="33" t="s">
        <v>204</v>
      </c>
      <c r="C35" s="32" t="s">
        <v>203</v>
      </c>
      <c r="D35" s="31"/>
      <c r="E35" s="29">
        <v>803000</v>
      </c>
      <c r="F35" s="29">
        <v>803000</v>
      </c>
      <c r="G35" s="145">
        <f>'เบิกจ่าย งบปี 62'!I187</f>
        <v>0</v>
      </c>
      <c r="H35" s="30">
        <f>F35-G35-I35</f>
        <v>802900</v>
      </c>
      <c r="I35" s="474">
        <v>100</v>
      </c>
      <c r="J35" s="498" t="s">
        <v>349</v>
      </c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1"/>
      <c r="Z35" s="41"/>
      <c r="AA35" s="41"/>
      <c r="AB35" s="42"/>
      <c r="AC35" s="41"/>
      <c r="AD35" s="41"/>
      <c r="AE35" s="41"/>
      <c r="AF35" s="41"/>
      <c r="AG35" s="41"/>
      <c r="AH35" s="41"/>
    </row>
    <row r="36" spans="1:34">
      <c r="A36" s="558" t="s">
        <v>456</v>
      </c>
      <c r="B36" s="559"/>
      <c r="C36" s="477"/>
      <c r="D36" s="129">
        <f>D8+D17+D26+D29+D22</f>
        <v>32480400</v>
      </c>
      <c r="E36" s="129">
        <f>E8+E29+E22+E17</f>
        <v>8117000</v>
      </c>
      <c r="F36" s="130">
        <f>F8+F17+F22+F26+F29</f>
        <v>40597400</v>
      </c>
      <c r="G36" s="130">
        <f>G8+G17+G22+G26+G29</f>
        <v>10814300</v>
      </c>
      <c r="H36" s="130">
        <f>H8+H17+H22+H26+H29</f>
        <v>29158820</v>
      </c>
      <c r="I36" s="130">
        <f>I8+I17+I22+I26+I29</f>
        <v>624280</v>
      </c>
      <c r="J36" s="130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</row>
    <row r="37" spans="1:34" ht="38.25" customHeight="1">
      <c r="A37" s="561" t="s">
        <v>509</v>
      </c>
      <c r="B37" s="561"/>
      <c r="C37" s="518"/>
      <c r="D37" s="519">
        <f>' คุมเบิกประเด็น 1 '!D30+' คุมเบิกประเด็น 2  '!D62+'คุมเบิกประเด็น 3 '!D36</f>
        <v>89774240</v>
      </c>
      <c r="E37" s="519">
        <f>' คุมเบิกประเด็น 1 '!E30+' คุมเบิกประเด็น 2  '!E62+'คุมเบิกประเด็น 3 '!E36</f>
        <v>245627000</v>
      </c>
      <c r="F37" s="519">
        <f>' คุมเบิกประเด็น 1 '!F30+' คุมเบิกประเด็น 2  '!F62+'คุมเบิกประเด็น 3 '!F36</f>
        <v>335401240</v>
      </c>
      <c r="G37" s="519">
        <f>' คุมเบิกประเด็น 1 '!G30+' คุมเบิกประเด็น 2  '!G62+'คุมเบิกประเด็น 3 '!G36</f>
        <v>50493469.659999996</v>
      </c>
      <c r="H37" s="519">
        <f>' คุมเบิกประเด็น 1 '!H30+' คุมเบิกประเด็น 2  '!H62+'คุมเบิกประเด็น 3 '!H36</f>
        <v>243191035.12</v>
      </c>
      <c r="I37" s="519">
        <f>' คุมเบิกประเด็น 1 '!I30+' คุมเบิกประเด็น 2  '!I62+'คุมเบิกประเด็น 3 '!I36</f>
        <v>26129235.219999999</v>
      </c>
      <c r="J37" s="519"/>
    </row>
    <row r="38" spans="1:34">
      <c r="E38" s="562"/>
      <c r="F38" s="562"/>
      <c r="G38" s="23"/>
    </row>
  </sheetData>
  <dataConsolidate/>
  <mergeCells count="29">
    <mergeCell ref="A37:B37"/>
    <mergeCell ref="J4:J5"/>
    <mergeCell ref="E38:F38"/>
    <mergeCell ref="H4:H5"/>
    <mergeCell ref="I4:I5"/>
    <mergeCell ref="A1:I2"/>
    <mergeCell ref="A36:B36"/>
    <mergeCell ref="A3:I3"/>
    <mergeCell ref="C4:C5"/>
    <mergeCell ref="D4:D5"/>
    <mergeCell ref="E4:E5"/>
    <mergeCell ref="F4:F5"/>
    <mergeCell ref="G4:G5"/>
    <mergeCell ref="AG4:AH4"/>
    <mergeCell ref="A6:D6"/>
    <mergeCell ref="A7:B7"/>
    <mergeCell ref="U4:V4"/>
    <mergeCell ref="W4:X4"/>
    <mergeCell ref="Y4:Z4"/>
    <mergeCell ref="AA4:AB4"/>
    <mergeCell ref="AC4:AD4"/>
    <mergeCell ref="K4:L4"/>
    <mergeCell ref="M4:N4"/>
    <mergeCell ref="O4:P4"/>
    <mergeCell ref="Q4:R4"/>
    <mergeCell ref="AE4:AF4"/>
    <mergeCell ref="S4:T4"/>
    <mergeCell ref="A4:A5"/>
    <mergeCell ref="B4:B5"/>
  </mergeCells>
  <printOptions horizontalCentered="1"/>
  <pageMargins left="0.2" right="9.8425196850393706E-2" top="0.79" bottom="7.874015748031496E-2" header="0.73" footer="0.31496062992125984"/>
  <pageSetup paperSize="9" scale="57" fitToHeight="0" orientation="landscape" r:id="rId1"/>
  <headerFooter scaleWithDoc="0"/>
  <rowBreaks count="1" manualBreakCount="1">
    <brk id="21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8</vt:i4>
      </vt:variant>
    </vt:vector>
  </HeadingPairs>
  <TitlesOfParts>
    <vt:vector size="12" baseType="lpstr">
      <vt:lpstr>เบิกจ่าย งบปี 62</vt:lpstr>
      <vt:lpstr> คุมเบิกประเด็น 1 </vt:lpstr>
      <vt:lpstr> คุมเบิกประเด็น 2  </vt:lpstr>
      <vt:lpstr>คุมเบิกประเด็น 3 </vt:lpstr>
      <vt:lpstr>' คุมเบิกประเด็น 1 '!Print_Area</vt:lpstr>
      <vt:lpstr>' คุมเบิกประเด็น 2  '!Print_Area</vt:lpstr>
      <vt:lpstr>'คุมเบิกประเด็น 3 '!Print_Area</vt:lpstr>
      <vt:lpstr>'เบิกจ่าย งบปี 62'!Print_Area</vt:lpstr>
      <vt:lpstr>' คุมเบิกประเด็น 1 '!Print_Titles</vt:lpstr>
      <vt:lpstr>' คุมเบิกประเด็น 2  '!Print_Titles</vt:lpstr>
      <vt:lpstr>'คุมเบิกประเด็น 3 '!Print_Titles</vt:lpstr>
      <vt:lpstr>'เบิกจ่าย งบปี 62'!Print_Titles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2019-06-25T04:28:06Z</cp:lastPrinted>
  <dcterms:created xsi:type="dcterms:W3CDTF">2018-10-18T06:54:54Z</dcterms:created>
  <dcterms:modified xsi:type="dcterms:W3CDTF">2019-06-25T04:55:02Z</dcterms:modified>
</cp:coreProperties>
</file>